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9000" tabRatio="776"/>
  </bookViews>
  <sheets>
    <sheet name="Valor da Empresa" sheetId="18" r:id="rId1"/>
    <sheet name="Custo Capital Proprio" sheetId="24" r:id="rId2"/>
    <sheet name="Multiplos 1" sheetId="23" r:id="rId3"/>
    <sheet name="Tx Desconto" sheetId="12" r:id="rId4"/>
    <sheet name="Referencias" sheetId="29" r:id="rId5"/>
    <sheet name="Tx Desconto 1" sheetId="28" r:id="rId6"/>
    <sheet name="Multiplos" sheetId="34" r:id="rId7"/>
  </sheets>
  <calcPr calcId="125725"/>
</workbook>
</file>

<file path=xl/calcChain.xml><?xml version="1.0" encoding="utf-8"?>
<calcChain xmlns="http://schemas.openxmlformats.org/spreadsheetml/2006/main">
  <c r="N165" i="18"/>
  <c r="N159"/>
  <c r="O66"/>
  <c r="P66"/>
  <c r="Q66"/>
  <c r="R66"/>
  <c r="S66"/>
  <c r="T66"/>
  <c r="U66"/>
  <c r="V66"/>
  <c r="W66"/>
  <c r="N66"/>
  <c r="O29"/>
  <c r="P29"/>
  <c r="Q29"/>
  <c r="R29"/>
  <c r="S29"/>
  <c r="T29"/>
  <c r="U29"/>
  <c r="V29"/>
  <c r="W29"/>
  <c r="N29"/>
  <c r="O2"/>
  <c r="N2"/>
  <c r="K3"/>
  <c r="J3"/>
  <c r="D48"/>
  <c r="D32"/>
  <c r="C32"/>
  <c r="G3"/>
  <c r="F3"/>
  <c r="O95" l="1"/>
  <c r="N95"/>
  <c r="O76"/>
  <c r="K17" l="1"/>
  <c r="J17"/>
  <c r="K6"/>
  <c r="K8" s="1"/>
  <c r="K13" s="1"/>
  <c r="K16" s="1"/>
  <c r="J6"/>
  <c r="J8" s="1"/>
  <c r="J13" s="1"/>
  <c r="J16" s="1"/>
  <c r="B19" i="29" l="1"/>
  <c r="B18"/>
  <c r="B17"/>
  <c r="B23" i="34"/>
  <c r="D11" i="28"/>
  <c r="Y21" i="18"/>
  <c r="D4" i="28" l="1"/>
  <c r="C29" i="18"/>
  <c r="D36"/>
  <c r="O37"/>
  <c r="P37" s="1"/>
  <c r="Q37" s="1"/>
  <c r="R37" s="1"/>
  <c r="S37" s="1"/>
  <c r="T37" s="1"/>
  <c r="U37" s="1"/>
  <c r="V37" s="1"/>
  <c r="W37" s="1"/>
  <c r="D28"/>
  <c r="C28"/>
  <c r="B28"/>
  <c r="D27"/>
  <c r="D26"/>
  <c r="C25"/>
  <c r="E28" l="1"/>
  <c r="G12" l="1"/>
  <c r="F4"/>
  <c r="D4"/>
  <c r="C4"/>
  <c r="D9"/>
  <c r="C9"/>
  <c r="G10" l="1"/>
  <c r="D29"/>
  <c r="E29" s="1"/>
  <c r="D42" s="1"/>
  <c r="D14"/>
  <c r="O10"/>
  <c r="P10"/>
  <c r="Q10"/>
  <c r="R10"/>
  <c r="S10"/>
  <c r="T10"/>
  <c r="U10"/>
  <c r="V10"/>
  <c r="W10"/>
  <c r="N10"/>
  <c r="O16"/>
  <c r="N16"/>
  <c r="O5" l="1"/>
  <c r="P5"/>
  <c r="Q5"/>
  <c r="R5"/>
  <c r="S5"/>
  <c r="T5"/>
  <c r="U5"/>
  <c r="V5"/>
  <c r="W5"/>
  <c r="N5"/>
  <c r="N3"/>
  <c r="O3" s="1"/>
  <c r="P3" s="1"/>
  <c r="Q3" s="1"/>
  <c r="R3" s="1"/>
  <c r="S3" s="1"/>
  <c r="T3" s="1"/>
  <c r="U3" s="1"/>
  <c r="V3" s="1"/>
  <c r="W3" s="1"/>
  <c r="Y6" l="1"/>
  <c r="Y8" s="1"/>
  <c r="N6"/>
  <c r="O6" l="1"/>
  <c r="P6" s="1"/>
  <c r="Q6" s="1"/>
  <c r="R6" s="1"/>
  <c r="S6" s="1"/>
  <c r="T6" s="1"/>
  <c r="U6" s="1"/>
  <c r="V6" s="1"/>
  <c r="W6" s="1"/>
  <c r="O4"/>
  <c r="P4" s="1"/>
  <c r="Q4" s="1"/>
  <c r="R4" l="1"/>
  <c r="S4" s="1"/>
  <c r="T4" s="1"/>
  <c r="U4" s="1"/>
  <c r="V4" s="1"/>
  <c r="W4" s="1"/>
  <c r="C14"/>
  <c r="O7" l="1"/>
  <c r="Q7"/>
  <c r="S7"/>
  <c r="U7"/>
  <c r="W7"/>
  <c r="P7"/>
  <c r="R7"/>
  <c r="T7"/>
  <c r="V7"/>
  <c r="N7"/>
  <c r="U15" l="1"/>
  <c r="U11"/>
  <c r="R11"/>
  <c r="R15"/>
  <c r="S15"/>
  <c r="S11"/>
  <c r="T15"/>
  <c r="T11"/>
  <c r="N11"/>
  <c r="N15"/>
  <c r="P15"/>
  <c r="P11"/>
  <c r="Q15"/>
  <c r="Q11"/>
  <c r="V11"/>
  <c r="V15"/>
  <c r="W15"/>
  <c r="W11"/>
  <c r="O15"/>
  <c r="O11"/>
  <c r="T12"/>
  <c r="U12"/>
  <c r="R12"/>
  <c r="S12"/>
  <c r="N12"/>
  <c r="P12"/>
  <c r="Q12"/>
  <c r="V12"/>
  <c r="W12"/>
  <c r="O12"/>
  <c r="T13"/>
  <c r="T17"/>
  <c r="U13"/>
  <c r="U17"/>
  <c r="W17"/>
  <c r="W13"/>
  <c r="O17"/>
  <c r="O13"/>
  <c r="P13"/>
  <c r="P17"/>
  <c r="Q13"/>
  <c r="Q17"/>
  <c r="V17"/>
  <c r="V13"/>
  <c r="N13"/>
  <c r="N17"/>
  <c r="R17"/>
  <c r="R13"/>
  <c r="S17"/>
  <c r="S13"/>
  <c r="O92"/>
  <c r="O84" s="1"/>
  <c r="P92"/>
  <c r="P84" s="1"/>
  <c r="Q92"/>
  <c r="Q84" s="1"/>
  <c r="R92"/>
  <c r="R84" s="1"/>
  <c r="S92"/>
  <c r="S84" s="1"/>
  <c r="T92"/>
  <c r="T84" s="1"/>
  <c r="U92"/>
  <c r="U84" s="1"/>
  <c r="V92"/>
  <c r="V84" s="1"/>
  <c r="W92"/>
  <c r="W84" s="1"/>
  <c r="N92"/>
  <c r="N84" s="1"/>
  <c r="P18" l="1"/>
  <c r="T18"/>
  <c r="V18"/>
  <c r="W18"/>
  <c r="Q18"/>
  <c r="U18"/>
  <c r="O18"/>
  <c r="N18"/>
  <c r="P14"/>
  <c r="P19" s="1"/>
  <c r="R18"/>
  <c r="T14"/>
  <c r="O14"/>
  <c r="U14"/>
  <c r="V14"/>
  <c r="S14"/>
  <c r="N14"/>
  <c r="S18"/>
  <c r="W14"/>
  <c r="Q14"/>
  <c r="R14"/>
  <c r="I17" i="28"/>
  <c r="I16"/>
  <c r="I15"/>
  <c r="I14"/>
  <c r="C23"/>
  <c r="D10"/>
  <c r="D22"/>
  <c r="C22"/>
  <c r="T19" i="18" l="1"/>
  <c r="V19"/>
  <c r="U19"/>
  <c r="Q19"/>
  <c r="W19"/>
  <c r="R19"/>
  <c r="O19"/>
  <c r="S19"/>
  <c r="D12" i="28"/>
  <c r="C21"/>
  <c r="C20" l="1"/>
  <c r="I6"/>
  <c r="C19"/>
  <c r="D6"/>
  <c r="C18"/>
  <c r="C17"/>
  <c r="C16"/>
  <c r="D10" i="24" l="1"/>
  <c r="D6"/>
  <c r="D12" l="1"/>
  <c r="F12" i="12"/>
  <c r="B11"/>
  <c r="C7"/>
  <c r="E7" s="1"/>
  <c r="C13" l="1"/>
  <c r="G9" s="1"/>
  <c r="L4" s="1"/>
  <c r="E5"/>
  <c r="E6"/>
  <c r="F6" s="1"/>
  <c r="K4"/>
  <c r="E4"/>
  <c r="K3"/>
  <c r="F4" l="1"/>
  <c r="M160" i="18" l="1"/>
  <c r="M150"/>
  <c r="M140" l="1"/>
  <c r="M135"/>
  <c r="M134"/>
  <c r="N132" l="1"/>
  <c r="W126"/>
  <c r="V126"/>
  <c r="U126"/>
  <c r="T126"/>
  <c r="S126"/>
  <c r="R126"/>
  <c r="Q126"/>
  <c r="P126"/>
  <c r="O126"/>
  <c r="N126"/>
  <c r="P124"/>
  <c r="P123"/>
  <c r="M118"/>
  <c r="N122" l="1"/>
  <c r="D19" i="28"/>
  <c r="O128" i="18"/>
  <c r="M116"/>
  <c r="M115"/>
  <c r="M112"/>
  <c r="N128" l="1"/>
  <c r="D21" i="28"/>
  <c r="O130" i="18"/>
  <c r="W128" l="1"/>
  <c r="D23" i="28"/>
  <c r="M111" i="18"/>
  <c r="M110"/>
  <c r="V128" l="1"/>
  <c r="U128" l="1"/>
  <c r="T128" l="1"/>
  <c r="S128" l="1"/>
  <c r="R128" l="1"/>
  <c r="Q128" l="1"/>
  <c r="M103"/>
  <c r="P128" l="1"/>
  <c r="M98" l="1"/>
  <c r="M97"/>
  <c r="W96"/>
  <c r="V96"/>
  <c r="U96"/>
  <c r="T96"/>
  <c r="S96"/>
  <c r="R96"/>
  <c r="Q96"/>
  <c r="R112" l="1"/>
  <c r="R104"/>
  <c r="V112"/>
  <c r="V104"/>
  <c r="W112"/>
  <c r="W104"/>
  <c r="Q112"/>
  <c r="Q104"/>
  <c r="U112"/>
  <c r="U104"/>
  <c r="S112"/>
  <c r="S104"/>
  <c r="T112"/>
  <c r="T104"/>
  <c r="P96"/>
  <c r="O96"/>
  <c r="N96"/>
  <c r="M96"/>
  <c r="W95"/>
  <c r="V95"/>
  <c r="U95"/>
  <c r="T95"/>
  <c r="S95"/>
  <c r="R95"/>
  <c r="Q95"/>
  <c r="P95"/>
  <c r="M95"/>
  <c r="M94"/>
  <c r="M93"/>
  <c r="M85"/>
  <c r="T118" l="1"/>
  <c r="Q118"/>
  <c r="V118"/>
  <c r="S118"/>
  <c r="U118"/>
  <c r="W118"/>
  <c r="R118"/>
  <c r="Q111"/>
  <c r="Q105"/>
  <c r="N112"/>
  <c r="N104"/>
  <c r="R111"/>
  <c r="R105"/>
  <c r="O112"/>
  <c r="O104"/>
  <c r="S111"/>
  <c r="S105"/>
  <c r="W111"/>
  <c r="W105"/>
  <c r="P112"/>
  <c r="P104"/>
  <c r="U111"/>
  <c r="U105"/>
  <c r="N111"/>
  <c r="N105"/>
  <c r="V111"/>
  <c r="V105"/>
  <c r="P111"/>
  <c r="P105"/>
  <c r="T111"/>
  <c r="T105"/>
  <c r="P118" l="1"/>
  <c r="O118"/>
  <c r="N118" l="1"/>
  <c r="B60"/>
  <c r="B59"/>
  <c r="B58"/>
  <c r="B57"/>
  <c r="B56" l="1"/>
  <c r="B55"/>
  <c r="M63"/>
  <c r="N62"/>
  <c r="M62"/>
  <c r="M61"/>
  <c r="M60"/>
  <c r="D45" l="1"/>
  <c r="M53" l="1"/>
  <c r="M49"/>
  <c r="M48" l="1"/>
  <c r="M47"/>
  <c r="M45" l="1"/>
  <c r="M44"/>
  <c r="AB46"/>
  <c r="B30" l="1"/>
  <c r="M33"/>
  <c r="M31"/>
  <c r="M30"/>
  <c r="C27"/>
  <c r="B27"/>
  <c r="C26"/>
  <c r="B26"/>
  <c r="D25"/>
  <c r="B25"/>
  <c r="P24"/>
  <c r="P26" s="1"/>
  <c r="B21"/>
  <c r="E27" l="1"/>
  <c r="D38" s="1"/>
  <c r="P61"/>
  <c r="E25"/>
  <c r="Q124"/>
  <c r="O124"/>
  <c r="P125"/>
  <c r="D20"/>
  <c r="C20"/>
  <c r="B20"/>
  <c r="D19"/>
  <c r="C19"/>
  <c r="B19"/>
  <c r="C18"/>
  <c r="F10"/>
  <c r="F14" s="1"/>
  <c r="W9"/>
  <c r="V9"/>
  <c r="U9"/>
  <c r="T9"/>
  <c r="S9"/>
  <c r="R9"/>
  <c r="Q9"/>
  <c r="P9"/>
  <c r="O9"/>
  <c r="N9"/>
  <c r="G4"/>
  <c r="G14" s="1"/>
  <c r="K4" i="28"/>
  <c r="J14" s="1"/>
  <c r="K7"/>
  <c r="J15" s="1"/>
  <c r="E20" i="18" l="1"/>
  <c r="P51"/>
  <c r="P119" s="1"/>
  <c r="N24"/>
  <c r="N125" s="1"/>
  <c r="P30"/>
  <c r="P31" s="1"/>
  <c r="T30"/>
  <c r="T31" s="1"/>
  <c r="B38"/>
  <c r="V30"/>
  <c r="V31" s="1"/>
  <c r="D21"/>
  <c r="N36" s="1"/>
  <c r="O30"/>
  <c r="O31" s="1"/>
  <c r="S30"/>
  <c r="S31" s="1"/>
  <c r="W30"/>
  <c r="W31" s="1"/>
  <c r="C21" i="34"/>
  <c r="N30" i="18"/>
  <c r="N31" s="1"/>
  <c r="N161"/>
  <c r="E19"/>
  <c r="D35" s="1"/>
  <c r="N124"/>
  <c r="O123"/>
  <c r="O24"/>
  <c r="Q123"/>
  <c r="Q24"/>
  <c r="U30"/>
  <c r="U31" s="1"/>
  <c r="C21"/>
  <c r="R124"/>
  <c r="R30"/>
  <c r="R31" s="1"/>
  <c r="B36"/>
  <c r="D50"/>
  <c r="O36" l="1"/>
  <c r="N49"/>
  <c r="N71" s="1"/>
  <c r="N52"/>
  <c r="V43"/>
  <c r="E21"/>
  <c r="D40" s="1"/>
  <c r="D41" s="1"/>
  <c r="P32"/>
  <c r="P35" s="1"/>
  <c r="P48" s="1"/>
  <c r="N26"/>
  <c r="P43"/>
  <c r="P59"/>
  <c r="T43"/>
  <c r="T32"/>
  <c r="T35" s="1"/>
  <c r="T48" s="1"/>
  <c r="R68"/>
  <c r="R44"/>
  <c r="T68"/>
  <c r="T44"/>
  <c r="P68"/>
  <c r="P44"/>
  <c r="U68"/>
  <c r="U44"/>
  <c r="V32"/>
  <c r="W32"/>
  <c r="S43"/>
  <c r="S32"/>
  <c r="O43"/>
  <c r="O32"/>
  <c r="N43"/>
  <c r="N67" s="1"/>
  <c r="N32"/>
  <c r="W43"/>
  <c r="W8"/>
  <c r="N173"/>
  <c r="J16" i="28"/>
  <c r="V8" i="18"/>
  <c r="B50"/>
  <c r="S124"/>
  <c r="R123"/>
  <c r="R24"/>
  <c r="U43"/>
  <c r="U32"/>
  <c r="U35" s="1"/>
  <c r="O125"/>
  <c r="O26"/>
  <c r="Q30"/>
  <c r="Q31" s="1"/>
  <c r="R43"/>
  <c r="R32"/>
  <c r="R35" s="1"/>
  <c r="R8"/>
  <c r="B40"/>
  <c r="N123"/>
  <c r="D16" i="28"/>
  <c r="M43" i="18"/>
  <c r="Q125"/>
  <c r="Q26"/>
  <c r="U8"/>
  <c r="P36" l="1"/>
  <c r="O49"/>
  <c r="N127"/>
  <c r="P45"/>
  <c r="W67"/>
  <c r="O67"/>
  <c r="V35"/>
  <c r="W35"/>
  <c r="S35"/>
  <c r="R48"/>
  <c r="S68"/>
  <c r="S44"/>
  <c r="V68"/>
  <c r="V44"/>
  <c r="V45" s="1"/>
  <c r="U48"/>
  <c r="P72"/>
  <c r="T72"/>
  <c r="Q68"/>
  <c r="Q44"/>
  <c r="W68"/>
  <c r="W44"/>
  <c r="O35"/>
  <c r="O68"/>
  <c r="O44"/>
  <c r="N35"/>
  <c r="N68"/>
  <c r="N44"/>
  <c r="Q51"/>
  <c r="V67"/>
  <c r="T8"/>
  <c r="G15"/>
  <c r="F15"/>
  <c r="M46"/>
  <c r="N27"/>
  <c r="R45"/>
  <c r="T124"/>
  <c r="O127"/>
  <c r="S123"/>
  <c r="S24"/>
  <c r="Q43"/>
  <c r="Q32"/>
  <c r="Q35" s="1"/>
  <c r="Q8"/>
  <c r="N61"/>
  <c r="N51"/>
  <c r="D18" i="28"/>
  <c r="N166" i="18"/>
  <c r="N162"/>
  <c r="R125"/>
  <c r="R26"/>
  <c r="Q36" l="1"/>
  <c r="P49"/>
  <c r="O52"/>
  <c r="O71"/>
  <c r="V48"/>
  <c r="Q48"/>
  <c r="S48"/>
  <c r="W48"/>
  <c r="W45"/>
  <c r="U72"/>
  <c r="R72"/>
  <c r="O48"/>
  <c r="O45"/>
  <c r="N48"/>
  <c r="N45"/>
  <c r="Q61"/>
  <c r="U45"/>
  <c r="U67"/>
  <c r="S8"/>
  <c r="P8"/>
  <c r="D20" i="28"/>
  <c r="U124" i="18"/>
  <c r="Q119"/>
  <c r="Q59"/>
  <c r="Q67"/>
  <c r="Q45"/>
  <c r="O61"/>
  <c r="O51"/>
  <c r="S125"/>
  <c r="S26"/>
  <c r="R127"/>
  <c r="D17" i="28"/>
  <c r="J17"/>
  <c r="J18" s="1"/>
  <c r="J8"/>
  <c r="L7" s="1"/>
  <c r="M7" s="1"/>
  <c r="N119" i="18"/>
  <c r="N59"/>
  <c r="T123"/>
  <c r="T24"/>
  <c r="R36" l="1"/>
  <c r="Q49"/>
  <c r="P71"/>
  <c r="P52"/>
  <c r="Q72"/>
  <c r="V72"/>
  <c r="S72"/>
  <c r="W72"/>
  <c r="O72"/>
  <c r="N72"/>
  <c r="Q127"/>
  <c r="P67"/>
  <c r="T45"/>
  <c r="D56"/>
  <c r="O8"/>
  <c r="T67"/>
  <c r="L4" i="28"/>
  <c r="M4" s="1"/>
  <c r="N8" s="1"/>
  <c r="O156" i="18" s="1"/>
  <c r="T125"/>
  <c r="T26"/>
  <c r="O119"/>
  <c r="O59"/>
  <c r="V124"/>
  <c r="U123"/>
  <c r="U24"/>
  <c r="R61"/>
  <c r="R51"/>
  <c r="S127"/>
  <c r="S36" l="1"/>
  <c r="R49"/>
  <c r="Q71"/>
  <c r="Q52"/>
  <c r="W124"/>
  <c r="N8"/>
  <c r="S45"/>
  <c r="P127"/>
  <c r="S67"/>
  <c r="R119"/>
  <c r="R59"/>
  <c r="V123"/>
  <c r="V24"/>
  <c r="T127"/>
  <c r="S61"/>
  <c r="S51"/>
  <c r="U125"/>
  <c r="U26"/>
  <c r="T36" l="1"/>
  <c r="S49"/>
  <c r="R52"/>
  <c r="R71"/>
  <c r="D52"/>
  <c r="O105"/>
  <c r="O111"/>
  <c r="R67"/>
  <c r="S119"/>
  <c r="S59"/>
  <c r="U127"/>
  <c r="T61"/>
  <c r="T51"/>
  <c r="V125"/>
  <c r="V26"/>
  <c r="D59"/>
  <c r="W123"/>
  <c r="W24"/>
  <c r="U36" l="1"/>
  <c r="T49"/>
  <c r="S52"/>
  <c r="S58" s="1"/>
  <c r="S71"/>
  <c r="B52"/>
  <c r="V127"/>
  <c r="T119"/>
  <c r="T59"/>
  <c r="U61"/>
  <c r="U51"/>
  <c r="W125"/>
  <c r="W26"/>
  <c r="V36" l="1"/>
  <c r="U49"/>
  <c r="T71"/>
  <c r="T52"/>
  <c r="T58" s="1"/>
  <c r="T75" s="1"/>
  <c r="R58"/>
  <c r="S75"/>
  <c r="U119"/>
  <c r="U59"/>
  <c r="V61"/>
  <c r="V51"/>
  <c r="W127"/>
  <c r="W27"/>
  <c r="W36" l="1"/>
  <c r="W49" s="1"/>
  <c r="V49"/>
  <c r="U52"/>
  <c r="U58" s="1"/>
  <c r="U75" s="1"/>
  <c r="U71"/>
  <c r="V27"/>
  <c r="R75"/>
  <c r="Q58"/>
  <c r="V119"/>
  <c r="V59"/>
  <c r="W61"/>
  <c r="W51"/>
  <c r="W71" l="1"/>
  <c r="W52"/>
  <c r="W58" s="1"/>
  <c r="W75" s="1"/>
  <c r="V52"/>
  <c r="V58" s="1"/>
  <c r="V75" s="1"/>
  <c r="V71"/>
  <c r="U27"/>
  <c r="P58"/>
  <c r="Q75"/>
  <c r="W119"/>
  <c r="W59"/>
  <c r="P75" l="1"/>
  <c r="O58"/>
  <c r="T27"/>
  <c r="N58" l="1"/>
  <c r="O75"/>
  <c r="S27"/>
  <c r="V69"/>
  <c r="D18" l="1"/>
  <c r="R27"/>
  <c r="D34"/>
  <c r="O88"/>
  <c r="N75"/>
  <c r="U69"/>
  <c r="N88" l="1"/>
  <c r="W69"/>
  <c r="Q27"/>
  <c r="T69"/>
  <c r="P27" l="1"/>
  <c r="S69"/>
  <c r="O27" l="1"/>
  <c r="D43"/>
  <c r="R69"/>
  <c r="M57" l="1"/>
  <c r="Q69"/>
  <c r="P69" l="1"/>
  <c r="O69" l="1"/>
  <c r="N69" l="1"/>
  <c r="O102" l="1"/>
  <c r="O110" s="1"/>
  <c r="O116" s="1"/>
  <c r="N102"/>
  <c r="N110" s="1"/>
  <c r="N116" s="1"/>
  <c r="N73"/>
  <c r="N94" s="1"/>
  <c r="W88"/>
  <c r="W102" s="1"/>
  <c r="V88"/>
  <c r="U88"/>
  <c r="T88"/>
  <c r="S88"/>
  <c r="S102" s="1"/>
  <c r="S110" s="1"/>
  <c r="R88"/>
  <c r="R102" s="1"/>
  <c r="Q88"/>
  <c r="P88"/>
  <c r="W79"/>
  <c r="W86" s="1"/>
  <c r="O79"/>
  <c r="O97" s="1"/>
  <c r="E26"/>
  <c r="B37"/>
  <c r="B51" s="1"/>
  <c r="D49"/>
  <c r="B35"/>
  <c r="B49" s="1"/>
  <c r="N79"/>
  <c r="N97" s="1"/>
  <c r="V79"/>
  <c r="V86" s="1"/>
  <c r="V109" s="1"/>
  <c r="V134" s="1"/>
  <c r="U79"/>
  <c r="U80" s="1"/>
  <c r="T79"/>
  <c r="T97" s="1"/>
  <c r="S79"/>
  <c r="S80" s="1"/>
  <c r="R79"/>
  <c r="R86" s="1"/>
  <c r="Q79"/>
  <c r="Q86" s="1"/>
  <c r="Q109" s="1"/>
  <c r="Q134" s="1"/>
  <c r="P79"/>
  <c r="P80" s="1"/>
  <c r="D57"/>
  <c r="M117"/>
  <c r="U132"/>
  <c r="U122" s="1"/>
  <c r="T132"/>
  <c r="T122" s="1"/>
  <c r="R132"/>
  <c r="R138" s="1"/>
  <c r="Q132"/>
  <c r="Q138" s="1"/>
  <c r="W132"/>
  <c r="W138" s="1"/>
  <c r="P132"/>
  <c r="P122" s="1"/>
  <c r="O132"/>
  <c r="O138" s="1"/>
  <c r="S132"/>
  <c r="S122" s="1"/>
  <c r="V132"/>
  <c r="V122" s="1"/>
  <c r="F5" i="12"/>
  <c r="F7" s="1"/>
  <c r="F9" s="1"/>
  <c r="G12"/>
  <c r="L3" s="1"/>
  <c r="K5"/>
  <c r="M4"/>
  <c r="D37" i="18" l="1"/>
  <c r="E30"/>
  <c r="P97"/>
  <c r="W80"/>
  <c r="H12" i="12"/>
  <c r="P4" s="1"/>
  <c r="O80" i="18"/>
  <c r="N87"/>
  <c r="O122"/>
  <c r="W97"/>
  <c r="V80"/>
  <c r="T138"/>
  <c r="U97"/>
  <c r="P138"/>
  <c r="G13" i="12"/>
  <c r="L5" s="1"/>
  <c r="S138" i="18"/>
  <c r="V97"/>
  <c r="Q80"/>
  <c r="H9" i="12"/>
  <c r="M3"/>
  <c r="U138" i="18"/>
  <c r="V138"/>
  <c r="Q97"/>
  <c r="W122"/>
  <c r="R122"/>
  <c r="S86"/>
  <c r="S109" s="1"/>
  <c r="S134" s="1"/>
  <c r="R80"/>
  <c r="S97"/>
  <c r="T86"/>
  <c r="N86"/>
  <c r="W109"/>
  <c r="Q102"/>
  <c r="R110"/>
  <c r="S116"/>
  <c r="U102"/>
  <c r="V102"/>
  <c r="W110"/>
  <c r="N103"/>
  <c r="Q122"/>
  <c r="R109"/>
  <c r="R97"/>
  <c r="T80"/>
  <c r="N80"/>
  <c r="P86"/>
  <c r="U86"/>
  <c r="O86"/>
  <c r="P102"/>
  <c r="T102"/>
  <c r="H13" i="12" l="1"/>
  <c r="P5" s="1"/>
  <c r="P3"/>
  <c r="N117" i="18"/>
  <c r="T109"/>
  <c r="T110"/>
  <c r="P109"/>
  <c r="V110"/>
  <c r="Q110"/>
  <c r="R134"/>
  <c r="N109"/>
  <c r="U109"/>
  <c r="D51"/>
  <c r="O109"/>
  <c r="P110"/>
  <c r="W116"/>
  <c r="U110"/>
  <c r="R116"/>
  <c r="W134"/>
  <c r="U116" l="1"/>
  <c r="O134"/>
  <c r="P116"/>
  <c r="D53"/>
  <c r="V116"/>
  <c r="Q116"/>
  <c r="T134"/>
  <c r="U134"/>
  <c r="N134"/>
  <c r="P134"/>
  <c r="T116"/>
  <c r="N19"/>
  <c r="N33" s="1"/>
  <c r="N34" l="1"/>
  <c r="N38" s="1"/>
  <c r="N40" s="1"/>
  <c r="N46"/>
  <c r="N20"/>
  <c r="N41" l="1"/>
  <c r="N108"/>
  <c r="N113" s="1"/>
  <c r="N133"/>
  <c r="N70"/>
  <c r="N74" s="1"/>
  <c r="N47"/>
  <c r="N50" s="1"/>
  <c r="N53" l="1"/>
  <c r="N115"/>
  <c r="N120" s="1"/>
  <c r="N101"/>
  <c r="N106" s="1"/>
  <c r="N136"/>
  <c r="N135"/>
  <c r="N78"/>
  <c r="N81" s="1"/>
  <c r="N85"/>
  <c r="N89" s="1"/>
  <c r="N93" s="1"/>
  <c r="N98" s="1"/>
  <c r="N54" l="1"/>
  <c r="N57"/>
  <c r="N60" s="1"/>
  <c r="N63" s="1"/>
  <c r="T33"/>
  <c r="W33"/>
  <c r="S33"/>
  <c r="S34" s="1"/>
  <c r="R38" s="1"/>
  <c r="Q33"/>
  <c r="Q46" s="1"/>
  <c r="V33"/>
  <c r="V34" s="1"/>
  <c r="U38" s="1"/>
  <c r="Q20" l="1"/>
  <c r="V20"/>
  <c r="S20"/>
  <c r="O33"/>
  <c r="O46" s="1"/>
  <c r="O47" s="1"/>
  <c r="O50" s="1"/>
  <c r="U33"/>
  <c r="R33"/>
  <c r="R20" s="1"/>
  <c r="U39"/>
  <c r="U62" s="1"/>
  <c r="U73" s="1"/>
  <c r="R39"/>
  <c r="R62" s="1"/>
  <c r="R73" s="1"/>
  <c r="T46"/>
  <c r="T34"/>
  <c r="S38" s="1"/>
  <c r="Q47"/>
  <c r="Q50" s="1"/>
  <c r="Q70"/>
  <c r="W46"/>
  <c r="W34"/>
  <c r="T20"/>
  <c r="Q34"/>
  <c r="P38" s="1"/>
  <c r="W20"/>
  <c r="P33"/>
  <c r="V46"/>
  <c r="S46"/>
  <c r="O34" l="1"/>
  <c r="O38" s="1"/>
  <c r="O39" s="1"/>
  <c r="O62" s="1"/>
  <c r="O73" s="1"/>
  <c r="O70"/>
  <c r="R40"/>
  <c r="R41" s="1"/>
  <c r="U34"/>
  <c r="T38" s="1"/>
  <c r="T39" s="1"/>
  <c r="T62" s="1"/>
  <c r="T73" s="1"/>
  <c r="T87" s="1"/>
  <c r="U46"/>
  <c r="O20"/>
  <c r="R46"/>
  <c r="R34"/>
  <c r="Q38" s="1"/>
  <c r="U40"/>
  <c r="U108" s="1"/>
  <c r="U113" s="1"/>
  <c r="U20"/>
  <c r="P39"/>
  <c r="P62" s="1"/>
  <c r="P73" s="1"/>
  <c r="S39"/>
  <c r="S62" s="1"/>
  <c r="S73" s="1"/>
  <c r="V47"/>
  <c r="V50" s="1"/>
  <c r="V70"/>
  <c r="W47"/>
  <c r="W50" s="1"/>
  <c r="W70"/>
  <c r="O115"/>
  <c r="O101"/>
  <c r="O53"/>
  <c r="R87"/>
  <c r="R94"/>
  <c r="R103" s="1"/>
  <c r="R117" s="1"/>
  <c r="P46"/>
  <c r="P34"/>
  <c r="S47"/>
  <c r="S50" s="1"/>
  <c r="S70"/>
  <c r="W38"/>
  <c r="V38"/>
  <c r="Q53"/>
  <c r="Q101"/>
  <c r="Q115"/>
  <c r="T70"/>
  <c r="T47"/>
  <c r="T50" s="1"/>
  <c r="U87"/>
  <c r="U94"/>
  <c r="U103" s="1"/>
  <c r="U117" s="1"/>
  <c r="P20"/>
  <c r="R133" l="1"/>
  <c r="R135" s="1"/>
  <c r="O74"/>
  <c r="O85" s="1"/>
  <c r="T74"/>
  <c r="T85" s="1"/>
  <c r="T89" s="1"/>
  <c r="T93" s="1"/>
  <c r="T40"/>
  <c r="T108" s="1"/>
  <c r="T113" s="1"/>
  <c r="R108"/>
  <c r="R113" s="1"/>
  <c r="U133"/>
  <c r="U135" s="1"/>
  <c r="U41"/>
  <c r="O40"/>
  <c r="O133" s="1"/>
  <c r="R47"/>
  <c r="R50" s="1"/>
  <c r="R70"/>
  <c r="R74" s="1"/>
  <c r="T94"/>
  <c r="T103" s="1"/>
  <c r="T117" s="1"/>
  <c r="Q39"/>
  <c r="Q62" s="1"/>
  <c r="Q73" s="1"/>
  <c r="U47"/>
  <c r="U50" s="1"/>
  <c r="U70"/>
  <c r="U74" s="1"/>
  <c r="S74"/>
  <c r="S85" s="1"/>
  <c r="V39"/>
  <c r="V62" s="1"/>
  <c r="V73" s="1"/>
  <c r="V74" s="1"/>
  <c r="O54"/>
  <c r="N167" s="1"/>
  <c r="O57"/>
  <c r="O60" s="1"/>
  <c r="O63" s="1"/>
  <c r="O94"/>
  <c r="O103" s="1"/>
  <c r="O117" s="1"/>
  <c r="O120" s="1"/>
  <c r="O87"/>
  <c r="S101"/>
  <c r="S115"/>
  <c r="S53"/>
  <c r="P40"/>
  <c r="T115"/>
  <c r="T53"/>
  <c r="T101"/>
  <c r="Q54"/>
  <c r="Q57"/>
  <c r="Q60" s="1"/>
  <c r="W101"/>
  <c r="W115"/>
  <c r="W53"/>
  <c r="V53"/>
  <c r="V101"/>
  <c r="V115"/>
  <c r="P94"/>
  <c r="P103" s="1"/>
  <c r="P117" s="1"/>
  <c r="P87"/>
  <c r="R136"/>
  <c r="W39"/>
  <c r="W62" s="1"/>
  <c r="W73" s="1"/>
  <c r="W74" s="1"/>
  <c r="P47"/>
  <c r="P50" s="1"/>
  <c r="P70"/>
  <c r="P74" s="1"/>
  <c r="S40"/>
  <c r="S87"/>
  <c r="S94"/>
  <c r="S103" s="1"/>
  <c r="S117" s="1"/>
  <c r="O78" l="1"/>
  <c r="O81" s="1"/>
  <c r="T41"/>
  <c r="T133"/>
  <c r="T136" s="1"/>
  <c r="Q63"/>
  <c r="O108"/>
  <c r="O113" s="1"/>
  <c r="U136"/>
  <c r="T78"/>
  <c r="T81" s="1"/>
  <c r="T106"/>
  <c r="O41"/>
  <c r="S78"/>
  <c r="S140" s="1"/>
  <c r="O145" s="1"/>
  <c r="T98"/>
  <c r="O106"/>
  <c r="T120"/>
  <c r="W40"/>
  <c r="W41" s="1"/>
  <c r="W42" s="1"/>
  <c r="Q94"/>
  <c r="Q103" s="1"/>
  <c r="Q87"/>
  <c r="Q74"/>
  <c r="R53"/>
  <c r="R115"/>
  <c r="R120" s="1"/>
  <c r="R101"/>
  <c r="R106" s="1"/>
  <c r="U115"/>
  <c r="U120" s="1"/>
  <c r="U53"/>
  <c r="U101"/>
  <c r="U106" s="1"/>
  <c r="R85"/>
  <c r="R89" s="1"/>
  <c r="R93" s="1"/>
  <c r="R98" s="1"/>
  <c r="R78"/>
  <c r="U78"/>
  <c r="U85"/>
  <c r="U89" s="1"/>
  <c r="U93" s="1"/>
  <c r="U98" s="1"/>
  <c r="S89"/>
  <c r="S93" s="1"/>
  <c r="S98" s="1"/>
  <c r="Q40"/>
  <c r="O89"/>
  <c r="O93" s="1"/>
  <c r="O98" s="1"/>
  <c r="V78"/>
  <c r="V85"/>
  <c r="P115"/>
  <c r="P120" s="1"/>
  <c r="P53"/>
  <c r="P101"/>
  <c r="P106" s="1"/>
  <c r="W54"/>
  <c r="W57"/>
  <c r="W60" s="1"/>
  <c r="W63" s="1"/>
  <c r="O136"/>
  <c r="N172" s="1"/>
  <c r="O135"/>
  <c r="S41"/>
  <c r="S133"/>
  <c r="S108"/>
  <c r="S113" s="1"/>
  <c r="P78"/>
  <c r="P85"/>
  <c r="P89" s="1"/>
  <c r="P93" s="1"/>
  <c r="P98" s="1"/>
  <c r="V57"/>
  <c r="V60" s="1"/>
  <c r="V63" s="1"/>
  <c r="V54"/>
  <c r="P108"/>
  <c r="P113" s="1"/>
  <c r="P133"/>
  <c r="P41"/>
  <c r="S54"/>
  <c r="S57"/>
  <c r="S60" s="1"/>
  <c r="S63" s="1"/>
  <c r="W78"/>
  <c r="W85"/>
  <c r="W87"/>
  <c r="W94"/>
  <c r="W103" s="1"/>
  <c r="W117" s="1"/>
  <c r="W120" s="1"/>
  <c r="T57"/>
  <c r="T60" s="1"/>
  <c r="T63" s="1"/>
  <c r="T54"/>
  <c r="S120"/>
  <c r="S106"/>
  <c r="V40"/>
  <c r="V87"/>
  <c r="V94"/>
  <c r="V103" s="1"/>
  <c r="V117" s="1"/>
  <c r="V120" s="1"/>
  <c r="O140" l="1"/>
  <c r="O141" s="1"/>
  <c r="T135"/>
  <c r="T140"/>
  <c r="O146" s="1"/>
  <c r="D39"/>
  <c r="D44" s="1"/>
  <c r="S81"/>
  <c r="W108"/>
  <c r="W113" s="1"/>
  <c r="O157" s="1"/>
  <c r="W133"/>
  <c r="W135" s="1"/>
  <c r="W106"/>
  <c r="Q117"/>
  <c r="Q120" s="1"/>
  <c r="Q106"/>
  <c r="V106"/>
  <c r="Q41"/>
  <c r="Q133"/>
  <c r="Q108"/>
  <c r="Q113" s="1"/>
  <c r="R81"/>
  <c r="R140"/>
  <c r="O144" s="1"/>
  <c r="Q78"/>
  <c r="Q85"/>
  <c r="Q89" s="1"/>
  <c r="Q93" s="1"/>
  <c r="Q98" s="1"/>
  <c r="U140"/>
  <c r="O147" s="1"/>
  <c r="U81"/>
  <c r="U54"/>
  <c r="U57"/>
  <c r="U60" s="1"/>
  <c r="U63" s="1"/>
  <c r="R57"/>
  <c r="R60" s="1"/>
  <c r="R63" s="1"/>
  <c r="R54"/>
  <c r="P54"/>
  <c r="P57"/>
  <c r="P60" s="1"/>
  <c r="P63" s="1"/>
  <c r="W140"/>
  <c r="W81"/>
  <c r="V133"/>
  <c r="V41"/>
  <c r="V108"/>
  <c r="V113" s="1"/>
  <c r="P81"/>
  <c r="P140"/>
  <c r="V81"/>
  <c r="V140"/>
  <c r="O148" s="1"/>
  <c r="W89"/>
  <c r="W93" s="1"/>
  <c r="W98" s="1"/>
  <c r="P135"/>
  <c r="P136"/>
  <c r="V89"/>
  <c r="V93" s="1"/>
  <c r="V98" s="1"/>
  <c r="S135"/>
  <c r="S136"/>
  <c r="W136" l="1"/>
  <c r="Q81"/>
  <c r="Q140"/>
  <c r="O143" s="1"/>
  <c r="Q135"/>
  <c r="Q136"/>
  <c r="O142"/>
  <c r="O152"/>
  <c r="V135"/>
  <c r="V136"/>
  <c r="O149"/>
  <c r="V153"/>
  <c r="O154" s="1"/>
  <c r="O150" l="1"/>
  <c r="O155"/>
  <c r="N168" l="1"/>
  <c r="N160"/>
  <c r="N163" s="1"/>
  <c r="C20" i="34" l="1"/>
  <c r="C18" i="29"/>
  <c r="C17"/>
  <c r="N170" i="18"/>
  <c r="N169"/>
  <c r="N171"/>
  <c r="D55"/>
  <c r="D58" s="1"/>
  <c r="D46"/>
  <c r="E46" s="1"/>
  <c r="C23" i="34" l="1"/>
  <c r="C19" i="29" s="1"/>
  <c r="C22" i="34"/>
  <c r="D60" i="18"/>
  <c r="E22"/>
</calcChain>
</file>

<file path=xl/comments1.xml><?xml version="1.0" encoding="utf-8"?>
<comments xmlns="http://schemas.openxmlformats.org/spreadsheetml/2006/main">
  <authors>
    <author>antonik</author>
  </authors>
  <commentList>
    <comment ref="N3" authorId="0">
      <text>
        <r>
          <rPr>
            <b/>
            <sz val="9"/>
            <color indexed="81"/>
            <rFont val="Tahoma"/>
            <charset val="1"/>
          </rPr>
          <t>antonik:</t>
        </r>
        <r>
          <rPr>
            <sz val="9"/>
            <color indexed="81"/>
            <rFont val="Tahoma"/>
            <charset val="1"/>
          </rPr>
          <t xml:space="preserve">
a média nacional de inserções por dia é de 242</t>
        </r>
      </text>
    </comment>
    <comment ref="N4" authorId="0">
      <text>
        <r>
          <rPr>
            <b/>
            <sz val="9"/>
            <color indexed="81"/>
            <rFont val="Tahoma"/>
            <charset val="1"/>
          </rPr>
          <t>antonik:</t>
        </r>
        <r>
          <rPr>
            <sz val="9"/>
            <color indexed="81"/>
            <rFont val="Tahoma"/>
            <charset val="1"/>
          </rPr>
          <t xml:space="preserve">
O preço médio de uma FM em Timbó é de 47,01 em uma e outra de 52,40</t>
        </r>
      </text>
    </comment>
    <comment ref="N5" authorId="0">
      <text>
        <r>
          <rPr>
            <b/>
            <sz val="9"/>
            <color indexed="81"/>
            <rFont val="Tahoma"/>
            <charset val="1"/>
          </rPr>
          <t>antonik:</t>
        </r>
        <r>
          <rPr>
            <sz val="9"/>
            <color indexed="81"/>
            <rFont val="Tahoma"/>
            <charset val="1"/>
          </rPr>
          <t xml:space="preserve">
a média nacional de inserções por dia é de 217</t>
        </r>
      </text>
    </comment>
  </commentList>
</comments>
</file>

<file path=xl/sharedStrings.xml><?xml version="1.0" encoding="utf-8"?>
<sst xmlns="http://schemas.openxmlformats.org/spreadsheetml/2006/main" count="438" uniqueCount="366">
  <si>
    <t>(-) Custo da Mercadoria Vendida</t>
  </si>
  <si>
    <t>(-) Despesas Financeiras</t>
  </si>
  <si>
    <t>(+) Depreciação</t>
  </si>
  <si>
    <t>D</t>
  </si>
  <si>
    <t>E</t>
  </si>
  <si>
    <t>WACC</t>
  </si>
  <si>
    <t>Ativo</t>
  </si>
  <si>
    <t>Passivo</t>
  </si>
  <si>
    <t>Valor</t>
  </si>
  <si>
    <t>Proporção</t>
  </si>
  <si>
    <t>Total do Passivo</t>
  </si>
  <si>
    <t>Total da dívida</t>
  </si>
  <si>
    <t>(-) Investimentos em Capital de Giro</t>
  </si>
  <si>
    <t>Dívida A</t>
  </si>
  <si>
    <t>Dívida B</t>
  </si>
  <si>
    <t>Dívida C</t>
  </si>
  <si>
    <t>Custo</t>
  </si>
  <si>
    <t>Peso</t>
  </si>
  <si>
    <t>Custo Ponderado</t>
  </si>
  <si>
    <t>Capital Próprio</t>
  </si>
  <si>
    <t>Total</t>
  </si>
  <si>
    <t>Tipo de capital</t>
  </si>
  <si>
    <t>Capital Próprio (PL)</t>
  </si>
  <si>
    <t>Capital de terceiros (empréstimos e financiamentos)</t>
  </si>
  <si>
    <t>Cálculo do WACC</t>
  </si>
  <si>
    <t>(=) EBIT</t>
  </si>
  <si>
    <t>(=) EBITDA</t>
  </si>
  <si>
    <t>Ano</t>
  </si>
  <si>
    <t>Receita Operacional Bruta</t>
  </si>
  <si>
    <t>(-) Impostos sobre vendas</t>
  </si>
  <si>
    <t>(=) Receita Operacional Líquida</t>
  </si>
  <si>
    <t>(-) Depreciação</t>
  </si>
  <si>
    <t>(-) Imposto de Renda Sobre as Operações</t>
  </si>
  <si>
    <t>(-) Capex</t>
  </si>
  <si>
    <t>(=) Noplat</t>
  </si>
  <si>
    <t>(=) FCFF</t>
  </si>
  <si>
    <t>(=) FCFE</t>
  </si>
  <si>
    <t>(-) Despesas Financeiras (juros)</t>
  </si>
  <si>
    <t>(+) Benifício Fiscal dos Juros (34%)</t>
  </si>
  <si>
    <t>(-) Despesas Operacionais</t>
  </si>
  <si>
    <t>(+) Despesas Financeiras (juros)</t>
  </si>
  <si>
    <t>(+) Imposto de Renda Sobre as Operações</t>
  </si>
  <si>
    <t xml:space="preserve">Ativo Circulante </t>
  </si>
  <si>
    <t xml:space="preserve">Ativo Permanente </t>
  </si>
  <si>
    <t xml:space="preserve">Ativo Fixo </t>
  </si>
  <si>
    <t xml:space="preserve">Depreciação Acumulada </t>
  </si>
  <si>
    <t xml:space="preserve">Total </t>
  </si>
  <si>
    <t xml:space="preserve">Passivo Circulante </t>
  </si>
  <si>
    <t xml:space="preserve">Fornecedores </t>
  </si>
  <si>
    <t xml:space="preserve">Salários </t>
  </si>
  <si>
    <t xml:space="preserve">Impostos e Contribuições </t>
  </si>
  <si>
    <t xml:space="preserve">Patrimônio Líquido </t>
  </si>
  <si>
    <t xml:space="preserve">Lucros Acumulados </t>
  </si>
  <si>
    <t>Conta</t>
  </si>
  <si>
    <t xml:space="preserve">( - ) Despesas Operacionais </t>
  </si>
  <si>
    <t xml:space="preserve">( - ) Depreciação </t>
  </si>
  <si>
    <t xml:space="preserve">( - ) Despesas Financeiras </t>
  </si>
  <si>
    <t>(=) Lucro Bruto</t>
  </si>
  <si>
    <t xml:space="preserve"> (=) Lucro Antes do Imposto de Renda e da Contribuição Social</t>
  </si>
  <si>
    <t>Receita Líquida Operacional</t>
  </si>
  <si>
    <t>(-) Imposto de Renda e Contribuição Social</t>
  </si>
  <si>
    <t>(=) Lucro Líquido do Exercício</t>
  </si>
  <si>
    <t>Capital Social</t>
  </si>
  <si>
    <t>Caixa e outras disponibilidades</t>
  </si>
  <si>
    <t>(+) Despesas Financeiras</t>
  </si>
  <si>
    <t>EBITDA MARGIN %</t>
  </si>
  <si>
    <t>Diferenças</t>
  </si>
  <si>
    <t>Pessoal e encargos</t>
  </si>
  <si>
    <t>Receita de vendas</t>
  </si>
  <si>
    <t>Lucro Líquido do Exercício</t>
  </si>
  <si>
    <t xml:space="preserve">Depreciação </t>
  </si>
  <si>
    <t>Caixa gerado pela operaçoes</t>
  </si>
  <si>
    <t>Caixa gerado pelaas atividades de investimentos</t>
  </si>
  <si>
    <t>Caixa gerado pelas atividades de financiamento</t>
  </si>
  <si>
    <t>Total  do caixa gerado</t>
  </si>
  <si>
    <t>Caixa no inicio do período</t>
  </si>
  <si>
    <t>Caixa no fim do período</t>
  </si>
  <si>
    <t>Ativos</t>
  </si>
  <si>
    <t>Passivos</t>
  </si>
  <si>
    <t>Teste</t>
  </si>
  <si>
    <t>Investimento líquido em capital de giro</t>
  </si>
  <si>
    <t>EBIT</t>
  </si>
  <si>
    <t>(+) Despesas financeiras</t>
  </si>
  <si>
    <t>(-) Investimento em capital de giro</t>
  </si>
  <si>
    <t>(-) Despesas de Capital (CAPEX)</t>
  </si>
  <si>
    <t>(-) Despesas financeiras</t>
  </si>
  <si>
    <t>= Cash Flows from Operations</t>
  </si>
  <si>
    <t>Alíquota do Imposto de Renda e Contribuição Social</t>
  </si>
  <si>
    <t>Imposto de Renda</t>
  </si>
  <si>
    <t>Contribuição Social</t>
  </si>
  <si>
    <t>Beta </t>
  </si>
  <si>
    <t>1.08</t>
  </si>
  <si>
    <t>56.26%</t>
  </si>
  <si>
    <t>0.70</t>
  </si>
  <si>
    <t>0.74</t>
  </si>
  <si>
    <t>1.13</t>
  </si>
  <si>
    <t>0.96</t>
  </si>
  <si>
    <t>128.04%</t>
  </si>
  <si>
    <t>0.44</t>
  </si>
  <si>
    <t>1.29</t>
  </si>
  <si>
    <t>32.91%</t>
  </si>
  <si>
    <t>0.99</t>
  </si>
  <si>
    <t>1.11</t>
  </si>
  <si>
    <t>216.41%</t>
  </si>
  <si>
    <t>0.43</t>
  </si>
  <si>
    <t>0.82</t>
  </si>
  <si>
    <t>94.73%</t>
  </si>
  <si>
    <t>0.91</t>
  </si>
  <si>
    <t>1.17</t>
  </si>
  <si>
    <t>61.95%</t>
  </si>
  <si>
    <t>1.28</t>
  </si>
  <si>
    <t>1.04</t>
  </si>
  <si>
    <t>42.76%</t>
  </si>
  <si>
    <t>0.78</t>
  </si>
  <si>
    <t>0.79</t>
  </si>
  <si>
    <t>0.69</t>
  </si>
  <si>
    <t>1.63</t>
  </si>
  <si>
    <t>82.48%</t>
  </si>
  <si>
    <t>0.80</t>
  </si>
  <si>
    <t>83.44%</t>
  </si>
  <si>
    <t>0.49</t>
  </si>
  <si>
    <t>6.79%</t>
  </si>
  <si>
    <t>Software (Internet)</t>
  </si>
  <si>
    <t>1.34</t>
  </si>
  <si>
    <t>4.43%</t>
  </si>
  <si>
    <t>1.43</t>
  </si>
  <si>
    <t>91.75%</t>
  </si>
  <si>
    <t>1.48</t>
  </si>
  <si>
    <t>150.55%</t>
  </si>
  <si>
    <t>0.62</t>
  </si>
  <si>
    <t>Total Market</t>
  </si>
  <si>
    <t>71.49%</t>
  </si>
  <si>
    <t>Tipo de indústria</t>
  </si>
  <si>
    <t>Dívida / PL</t>
  </si>
  <si>
    <t>Beta não alavancado</t>
  </si>
  <si>
    <t>Publicidade</t>
  </si>
  <si>
    <t>Autos e caminhões</t>
  </si>
  <si>
    <t>Bancos</t>
  </si>
  <si>
    <t>Autopeças</t>
  </si>
  <si>
    <t>Rádio e tv</t>
  </si>
  <si>
    <t>Indústria quimica</t>
  </si>
  <si>
    <t>Aço</t>
  </si>
  <si>
    <t>Telefonia celular</t>
  </si>
  <si>
    <t>Calçados</t>
  </si>
  <si>
    <t>Energia</t>
  </si>
  <si>
    <t>Seguros</t>
  </si>
  <si>
    <t>Óleo e gás, produção e exploração</t>
  </si>
  <si>
    <t>Número de empresas</t>
  </si>
  <si>
    <t>CAPM ajustado para cálculo do custo de Capital Próprio.</t>
  </si>
  <si>
    <t xml:space="preserve">Rf </t>
  </si>
  <si>
    <t>β</t>
  </si>
  <si>
    <t xml:space="preserve">Rm </t>
  </si>
  <si>
    <t>Rm - Rf</t>
  </si>
  <si>
    <t>Prb</t>
  </si>
  <si>
    <t xml:space="preserve">Ppp </t>
  </si>
  <si>
    <t xml:space="preserve">#if </t>
  </si>
  <si>
    <t>Taxa de juro livre de risco</t>
  </si>
  <si>
    <t>Beta, medida do risco do ativo em relação à uma carteira de ações padrão</t>
  </si>
  <si>
    <t>Taxa de retorno de portfófio de mercado</t>
  </si>
  <si>
    <t>Prêmio por risco; diferença entre a taxa livre de risco e a taxa de mercado</t>
  </si>
  <si>
    <t>Prêmio pelo tamanho da empresa (porte)</t>
  </si>
  <si>
    <t>Prêmio pelo risco Brasil</t>
  </si>
  <si>
    <t>Diferença entre a taxa de inflação do Brasil e dos Estados Unidos.</t>
  </si>
  <si>
    <t>Custo do capital próprio</t>
  </si>
  <si>
    <t xml:space="preserve">Ki </t>
  </si>
  <si>
    <t>Expectativa de inflação no Brasil</t>
  </si>
  <si>
    <t>CAPM real, líquido de inflação</t>
  </si>
  <si>
    <t>Capital de Terceiros</t>
  </si>
  <si>
    <t>Desconta da taxa de inflação considerada</t>
  </si>
  <si>
    <t>Custo real do capital de terceiros</t>
  </si>
  <si>
    <t>Capital de Terceiros (dívida)</t>
  </si>
  <si>
    <t>32,14% x 11,28%</t>
  </si>
  <si>
    <t>67,86% x 17,74%</t>
  </si>
  <si>
    <t>Tabela 4.11 - exemplos de beta (Fonte: Damodaram - http://pages.stern.nyu.edu/~adamodar/New_Home_Page/datafile/Betas.html)</t>
  </si>
  <si>
    <t>Tabela 4.14 - cálculo do WACC</t>
  </si>
  <si>
    <t>Projeção da Receita</t>
  </si>
  <si>
    <t>Custo da mercadoria vendida</t>
  </si>
  <si>
    <t>Custo Variável</t>
  </si>
  <si>
    <t>Custo Fixo</t>
  </si>
  <si>
    <t>Despesas Financeiras</t>
  </si>
  <si>
    <t>Empréstimos bancários de curto prazo</t>
  </si>
  <si>
    <t>Empréstimos bancários de longo prazo</t>
  </si>
  <si>
    <t>Taxa média de juro</t>
  </si>
  <si>
    <t>Despesas financeiras</t>
  </si>
  <si>
    <t>Despesa financeira</t>
  </si>
  <si>
    <t>Juro médio</t>
  </si>
  <si>
    <t>Dívida de curto prazo</t>
  </si>
  <si>
    <t>Dívida de longo prazo</t>
  </si>
  <si>
    <t>Juro médio após os efeitos do IR</t>
  </si>
  <si>
    <t>Valor presente do FCFF de 2018</t>
  </si>
  <si>
    <t>Valor presente do FCFF de 2019</t>
  </si>
  <si>
    <t>Valor presente do FCFF de 2020</t>
  </si>
  <si>
    <t>Valor presente do FCFF de 2021</t>
  </si>
  <si>
    <t>Valor presente do FCFF de 2022</t>
  </si>
  <si>
    <t>Valor presente do FCFF de 2023</t>
  </si>
  <si>
    <t>Valor presente do FCFF de 2024</t>
  </si>
  <si>
    <t>VPL do Fluxo de Caixa</t>
  </si>
  <si>
    <t>VPL do residuo (perpetuidade</t>
  </si>
  <si>
    <t>Período</t>
  </si>
  <si>
    <t>Taxa de inflaçao no Brasil</t>
  </si>
  <si>
    <t>VPL do fluxo de caixa e do resíduo</t>
  </si>
  <si>
    <t>Valor do resíduo no ano 7 (perpetuidade)</t>
  </si>
  <si>
    <t>Índice de Endividamento Geral</t>
  </si>
  <si>
    <t>Capital Próprio + Capital de Terceiros</t>
  </si>
  <si>
    <t>Kd</t>
  </si>
  <si>
    <t>Ke</t>
  </si>
  <si>
    <t>D + E</t>
  </si>
  <si>
    <t>#</t>
  </si>
  <si>
    <t>Taxa de crescimento do FCFF</t>
  </si>
  <si>
    <t>Ebitda margem</t>
  </si>
  <si>
    <t>VPL / Ebitda</t>
  </si>
  <si>
    <t>Margem Líquida</t>
  </si>
  <si>
    <t>Índice de Liquidez Corrente</t>
  </si>
  <si>
    <t>Valor do Caixa em excesso</t>
  </si>
  <si>
    <t>Dívida líquida</t>
  </si>
  <si>
    <t>Valor da empresa</t>
  </si>
  <si>
    <t>Valuation / Ebitda</t>
  </si>
  <si>
    <t>Valuation / Receita Operacional Líquida</t>
  </si>
  <si>
    <t>Valuation / Lucro Líquido do Exercício</t>
  </si>
  <si>
    <t>Indicador</t>
  </si>
  <si>
    <t>EV/EBITDAR&amp;D</t>
  </si>
  <si>
    <t>EV/EBITDA</t>
  </si>
  <si>
    <t>EV/EBIT</t>
  </si>
  <si>
    <t>EV/EBIT (1-t)</t>
  </si>
  <si>
    <t>8.87</t>
  </si>
  <si>
    <t>8.94</t>
  </si>
  <si>
    <t>14.56</t>
  </si>
  <si>
    <t>20.68</t>
  </si>
  <si>
    <t>6.60</t>
  </si>
  <si>
    <t>10.03</t>
  </si>
  <si>
    <t>20.93</t>
  </si>
  <si>
    <t>29.44</t>
  </si>
  <si>
    <t>9.53</t>
  </si>
  <si>
    <t>12.98</t>
  </si>
  <si>
    <t>17.89</t>
  </si>
  <si>
    <t>10.69</t>
  </si>
  <si>
    <t>11.42</t>
  </si>
  <si>
    <t>16.09</t>
  </si>
  <si>
    <t>23.14</t>
  </si>
  <si>
    <t>6.59</t>
  </si>
  <si>
    <t>7.50</t>
  </si>
  <si>
    <t>6.96</t>
  </si>
  <si>
    <t>16.42</t>
  </si>
  <si>
    <t>26.65</t>
  </si>
  <si>
    <t>8.54</t>
  </si>
  <si>
    <t>9.87</t>
  </si>
  <si>
    <t>14.36</t>
  </si>
  <si>
    <t>22.71</t>
  </si>
  <si>
    <t>7.52</t>
  </si>
  <si>
    <t>13.68</t>
  </si>
  <si>
    <t>19.45</t>
  </si>
  <si>
    <t>8.71</t>
  </si>
  <si>
    <t>10.04</t>
  </si>
  <si>
    <t>15.15</t>
  </si>
  <si>
    <t>21.88</t>
  </si>
  <si>
    <t>11.49</t>
  </si>
  <si>
    <t>17.36</t>
  </si>
  <si>
    <t>27.44</t>
  </si>
  <si>
    <t>17.14</t>
  </si>
  <si>
    <t>17.25</t>
  </si>
  <si>
    <t>23.22</t>
  </si>
  <si>
    <t>29.40</t>
  </si>
  <si>
    <t>7.73</t>
  </si>
  <si>
    <t>10.02</t>
  </si>
  <si>
    <t>15.83</t>
  </si>
  <si>
    <t>13.08</t>
  </si>
  <si>
    <t>14.74</t>
  </si>
  <si>
    <t>24.30</t>
  </si>
  <si>
    <t>34.04</t>
  </si>
  <si>
    <t>Segmento</t>
  </si>
  <si>
    <t>Veiculos</t>
  </si>
  <si>
    <t>Radiodifusão</t>
  </si>
  <si>
    <t>Materiais de construção</t>
  </si>
  <si>
    <t>Ecucação</t>
  </si>
  <si>
    <t>Equipamentos elétricos</t>
  </si>
  <si>
    <t>Construção civil</t>
  </si>
  <si>
    <t>Agropecuária e agricultura</t>
  </si>
  <si>
    <t>Revenda de veiculos</t>
  </si>
  <si>
    <t>Transportes rodoviários</t>
  </si>
  <si>
    <t>Total do mercado</t>
  </si>
  <si>
    <t>Tabela 12.1 – indicadores de valuation</t>
  </si>
  <si>
    <t>Setor de negócios</t>
  </si>
  <si>
    <t>Número de empresas pesquisadas</t>
  </si>
  <si>
    <t>Beta</t>
  </si>
  <si>
    <t>Maquinaria</t>
  </si>
  <si>
    <t>Metal e mineração</t>
  </si>
  <si>
    <t>Equipamentos de escritório e serviços</t>
  </si>
  <si>
    <t>Oleo e gás (Integrado)</t>
  </si>
  <si>
    <t>Óleo e gás (Produção e exploração)</t>
  </si>
  <si>
    <t>Óleo e gás (equipamentos)</t>
  </si>
  <si>
    <t>Bancos (Regionais)</t>
  </si>
  <si>
    <t>Bebidas (Alcoholicas)</t>
  </si>
  <si>
    <t>Serviços financeiros</t>
  </si>
  <si>
    <t>alimentos (processamento)</t>
  </si>
  <si>
    <t>Alimentos (atacadistas)</t>
  </si>
  <si>
    <t>Tabela 12.8 - betas selecionados</t>
  </si>
  <si>
    <t>Tabela 13.14 - cálculo do custo do Capital de Terceiros</t>
  </si>
  <si>
    <t>Tabela 13.18 – cálculo do CAPM</t>
  </si>
  <si>
    <t>Tabela 13.19 – dados para cálculo do WACC</t>
  </si>
  <si>
    <t>Tabela 13.20 – cálculo do WACC</t>
  </si>
  <si>
    <t>Tabela 1.1 - Fluxo de Caixa Livre</t>
  </si>
  <si>
    <t>Tabela 1.2 - Demonstração do Ebitda</t>
  </si>
  <si>
    <t>Tabela 1.3 - Demonstração do FCFF</t>
  </si>
  <si>
    <t>Tabela 4.9 - Cálculo do CAPM</t>
  </si>
  <si>
    <t>Tabela 4.11 - cálculo do WACC</t>
  </si>
  <si>
    <t>PBV</t>
  </si>
  <si>
    <t>Banks (Regional)</t>
  </si>
  <si>
    <t>1.16</t>
  </si>
  <si>
    <t>4.43</t>
  </si>
  <si>
    <t>Beverage (Soft)</t>
  </si>
  <si>
    <t>8.13</t>
  </si>
  <si>
    <t>Computer Services</t>
  </si>
  <si>
    <t>Education</t>
  </si>
  <si>
    <t>1.79</t>
  </si>
  <si>
    <t>Healthcare Products</t>
  </si>
  <si>
    <t>3.84</t>
  </si>
  <si>
    <t>Household Products</t>
  </si>
  <si>
    <t>5.37</t>
  </si>
  <si>
    <t>Insurance (General)</t>
  </si>
  <si>
    <t>Oil/Gas Distribution</t>
  </si>
  <si>
    <t>1.19</t>
  </si>
  <si>
    <t>Restaurant/Dining</t>
  </si>
  <si>
    <t>10.48</t>
  </si>
  <si>
    <t>Shoe</t>
  </si>
  <si>
    <t>4.59</t>
  </si>
  <si>
    <t>Telecom (Wireless)</t>
  </si>
  <si>
    <t>1.47</t>
  </si>
  <si>
    <t>2.48</t>
  </si>
  <si>
    <t>Tabela 13.28 - relação valor de mercado versus valor contábil</t>
  </si>
  <si>
    <t>Valor do Ativo</t>
  </si>
  <si>
    <t xml:space="preserve">Ativo intangível </t>
  </si>
  <si>
    <t>Tabela 13.29 - valor do ativo intangível</t>
  </si>
  <si>
    <t>Preço da inserção</t>
  </si>
  <si>
    <t>Quantidade de inserções dia normal</t>
  </si>
  <si>
    <t>Quantidade de inserções final de semana</t>
  </si>
  <si>
    <t>Alugueis</t>
  </si>
  <si>
    <t>Ecad</t>
  </si>
  <si>
    <t>Custo do serviço prestado</t>
  </si>
  <si>
    <t>Despesas de vendas</t>
  </si>
  <si>
    <t>Utilidades e serviços (energia, telefonia, água)</t>
  </si>
  <si>
    <t>Comissões e participações e agências</t>
  </si>
  <si>
    <t>Outros custos variáveis</t>
  </si>
  <si>
    <t>Investimentos diversos</t>
  </si>
  <si>
    <t>Outros</t>
  </si>
  <si>
    <t>Lucros acumulados</t>
  </si>
  <si>
    <t>Capital social</t>
  </si>
  <si>
    <t xml:space="preserve">Contas a Receber </t>
  </si>
  <si>
    <t/>
  </si>
  <si>
    <t>Demopnstração de Resultados do Exercício</t>
  </si>
  <si>
    <t xml:space="preserve">Receita Bruta com Vendas e Serviços </t>
  </si>
  <si>
    <t>Impostos sobre Vendas e Serviços</t>
  </si>
  <si>
    <t>Receita Operacional Líquida</t>
  </si>
  <si>
    <t>Custo das Mercadorias Vendidas</t>
  </si>
  <si>
    <t>Despesas Trabalhistas</t>
  </si>
  <si>
    <t>Encargos Sociais</t>
  </si>
  <si>
    <t>Despesas Operacionais Tributárias</t>
  </si>
  <si>
    <t>Resultado Operacional, Antes do Financeiro</t>
  </si>
  <si>
    <t>Resultado Financeiro</t>
  </si>
  <si>
    <t>Outras despesas/receitas Operacionais</t>
  </si>
  <si>
    <t>Resultado Líquido do Exercício</t>
  </si>
  <si>
    <t>Resultado Operacional Bruto</t>
  </si>
  <si>
    <t>Despesas Gerais</t>
  </si>
  <si>
    <t>Itens</t>
  </si>
  <si>
    <t>Margem Liquida</t>
  </si>
  <si>
    <t>Valor presente do FCFF de 2025</t>
  </si>
  <si>
    <t>Valor presente do FCFF de 2026</t>
  </si>
</sst>
</file>

<file path=xl/styles.xml><?xml version="1.0" encoding="utf-8"?>
<styleSheet xmlns="http://schemas.openxmlformats.org/spreadsheetml/2006/main">
  <numFmts count="13">
    <numFmt numFmtId="8" formatCode="&quot;R$&quot;\ #,##0.00;[Red]\-&quot;R$&quot;\ #,##0.00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R$&quot;\ #,##0.00"/>
    <numFmt numFmtId="166" formatCode="0.0%"/>
    <numFmt numFmtId="167" formatCode="_(* #,##0_);_(* \(#,##0\);_(* &quot;-&quot;??_);_(@_)"/>
    <numFmt numFmtId="168" formatCode="0.000%"/>
    <numFmt numFmtId="169" formatCode="_(&quot;Cr$&quot;* #,##0.00_);_(&quot;Cr$&quot;* \(#,##0.00\);_(&quot;Cr$&quot;* &quot;-&quot;??_);_(@_)"/>
    <numFmt numFmtId="170" formatCode="_-* #,##0.00\ _€_-;\-* #,##0.00\ _€_-;_-* &quot;-&quot;??\ _€_-;_-@_-"/>
    <numFmt numFmtId="171" formatCode="_-* #,##0.0_-;\-* #,##0.0_-;_-* &quot;-&quot;??_-;_-@_-"/>
    <numFmt numFmtId="172" formatCode="0.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i/>
      <sz val="11"/>
      <color rgb="FF000000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Verdana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169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0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0" applyFont="1"/>
    <xf numFmtId="10" fontId="0" fillId="0" borderId="1" xfId="1" applyNumberFormat="1" applyFont="1" applyBorder="1"/>
    <xf numFmtId="0" fontId="0" fillId="0" borderId="1" xfId="0" applyBorder="1"/>
    <xf numFmtId="10" fontId="0" fillId="0" borderId="1" xfId="0" applyNumberFormat="1" applyBorder="1"/>
    <xf numFmtId="166" fontId="0" fillId="0" borderId="1" xfId="0" applyNumberFormat="1" applyBorder="1"/>
    <xf numFmtId="0" fontId="5" fillId="0" borderId="1" xfId="0" applyFont="1" applyFill="1" applyBorder="1"/>
    <xf numFmtId="0" fontId="5" fillId="0" borderId="0" xfId="0" applyFont="1"/>
    <xf numFmtId="0" fontId="5" fillId="0" borderId="1" xfId="0" applyFont="1" applyBorder="1"/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/>
    <xf numFmtId="0" fontId="5" fillId="0" borderId="0" xfId="0" applyFont="1" applyFill="1"/>
    <xf numFmtId="165" fontId="5" fillId="0" borderId="0" xfId="0" applyNumberFormat="1" applyFont="1" applyFill="1"/>
    <xf numFmtId="165" fontId="5" fillId="0" borderId="0" xfId="0" applyNumberFormat="1" applyFont="1"/>
    <xf numFmtId="0" fontId="4" fillId="0" borderId="1" xfId="0" applyFont="1" applyFill="1" applyBorder="1" applyAlignment="1">
      <alignment vertical="center" wrapText="1"/>
    </xf>
    <xf numFmtId="0" fontId="5" fillId="2" borderId="0" xfId="0" applyFont="1" applyFill="1"/>
    <xf numFmtId="166" fontId="5" fillId="0" borderId="1" xfId="1" applyNumberFormat="1" applyFont="1" applyFill="1" applyBorder="1"/>
    <xf numFmtId="8" fontId="5" fillId="0" borderId="0" xfId="0" applyNumberFormat="1" applyFont="1"/>
    <xf numFmtId="0" fontId="5" fillId="0" borderId="1" xfId="0" applyFont="1" applyFill="1" applyBorder="1" applyAlignment="1">
      <alignment horizontal="center"/>
    </xf>
    <xf numFmtId="0" fontId="3" fillId="0" borderId="1" xfId="0" applyFont="1" applyBorder="1"/>
    <xf numFmtId="8" fontId="5" fillId="0" borderId="1" xfId="0" applyNumberFormat="1" applyFont="1" applyBorder="1"/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7" fillId="0" borderId="0" xfId="0" applyFont="1"/>
    <xf numFmtId="0" fontId="7" fillId="4" borderId="1" xfId="0" applyFont="1" applyFill="1" applyBorder="1" applyAlignment="1">
      <alignment horizontal="justify" vertical="center" wrapText="1"/>
    </xf>
    <xf numFmtId="9" fontId="5" fillId="0" borderId="1" xfId="1" applyFont="1" applyBorder="1"/>
    <xf numFmtId="164" fontId="0" fillId="0" borderId="1" xfId="2" applyFont="1" applyBorder="1"/>
    <xf numFmtId="0" fontId="2" fillId="0" borderId="1" xfId="0" applyFont="1" applyBorder="1"/>
    <xf numFmtId="0" fontId="0" fillId="0" borderId="1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4" fontId="5" fillId="0" borderId="0" xfId="3" applyFont="1"/>
    <xf numFmtId="167" fontId="5" fillId="0" borderId="1" xfId="2" applyNumberFormat="1" applyFont="1" applyBorder="1"/>
    <xf numFmtId="0" fontId="2" fillId="0" borderId="1" xfId="0" applyFont="1" applyBorder="1" applyAlignment="1">
      <alignment horizontal="justify"/>
    </xf>
    <xf numFmtId="44" fontId="5" fillId="0" borderId="0" xfId="0" applyNumberFormat="1" applyFont="1"/>
    <xf numFmtId="0" fontId="5" fillId="0" borderId="1" xfId="0" applyFont="1" applyBorder="1" applyAlignment="1">
      <alignment horizontal="center"/>
    </xf>
    <xf numFmtId="165" fontId="5" fillId="0" borderId="0" xfId="3" applyNumberFormat="1" applyFont="1"/>
    <xf numFmtId="0" fontId="9" fillId="0" borderId="1" xfId="0" applyFont="1" applyBorder="1" applyAlignment="1">
      <alignment horizontal="justify"/>
    </xf>
    <xf numFmtId="166" fontId="5" fillId="0" borderId="1" xfId="1" applyNumberFormat="1" applyFont="1" applyBorder="1"/>
    <xf numFmtId="0" fontId="5" fillId="0" borderId="1" xfId="0" applyFont="1" applyBorder="1" applyAlignment="1"/>
    <xf numFmtId="0" fontId="5" fillId="0" borderId="0" xfId="0" applyFont="1" applyBorder="1"/>
    <xf numFmtId="0" fontId="5" fillId="0" borderId="0" xfId="0" applyFont="1" applyAlignment="1">
      <alignment horizontal="center"/>
    </xf>
    <xf numFmtId="0" fontId="0" fillId="2" borderId="0" xfId="0" applyFill="1" applyBorder="1" applyAlignment="1">
      <alignment horizontal="left"/>
    </xf>
    <xf numFmtId="10" fontId="5" fillId="0" borderId="1" xfId="1" applyNumberFormat="1" applyFont="1" applyBorder="1"/>
    <xf numFmtId="168" fontId="5" fillId="0" borderId="1" xfId="1" applyNumberFormat="1" applyFont="1" applyBorder="1"/>
    <xf numFmtId="0" fontId="5" fillId="0" borderId="4" xfId="0" applyFont="1" applyBorder="1" applyAlignment="1">
      <alignment horizontal="left"/>
    </xf>
    <xf numFmtId="0" fontId="0" fillId="0" borderId="1" xfId="0" applyBorder="1" applyAlignment="1">
      <alignment horizontal="center"/>
    </xf>
    <xf numFmtId="164" fontId="5" fillId="0" borderId="1" xfId="2" applyFont="1" applyBorder="1"/>
    <xf numFmtId="164" fontId="5" fillId="0" borderId="5" xfId="2" applyFont="1" applyBorder="1" applyAlignment="1">
      <alignment horizontal="left"/>
    </xf>
    <xf numFmtId="164" fontId="5" fillId="0" borderId="6" xfId="2" applyFont="1" applyBorder="1" applyAlignment="1">
      <alignment horizontal="left"/>
    </xf>
    <xf numFmtId="10" fontId="5" fillId="3" borderId="1" xfId="1" applyNumberFormat="1" applyFont="1" applyFill="1" applyBorder="1"/>
    <xf numFmtId="0" fontId="12" fillId="0" borderId="1" xfId="0" applyFont="1" applyFill="1" applyBorder="1"/>
    <xf numFmtId="164" fontId="2" fillId="0" borderId="1" xfId="2" applyFont="1" applyBorder="1"/>
    <xf numFmtId="0" fontId="12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13" fillId="0" borderId="0" xfId="0" applyFont="1"/>
    <xf numFmtId="0" fontId="8" fillId="3" borderId="1" xfId="0" applyFont="1" applyFill="1" applyBorder="1"/>
    <xf numFmtId="0" fontId="8" fillId="3" borderId="1" xfId="0" applyFont="1" applyFill="1" applyBorder="1" applyAlignment="1">
      <alignment horizontal="center"/>
    </xf>
    <xf numFmtId="167" fontId="5" fillId="0" borderId="1" xfId="2" applyNumberFormat="1" applyFont="1" applyFill="1" applyBorder="1"/>
    <xf numFmtId="8" fontId="5" fillId="0" borderId="0" xfId="0" applyNumberFormat="1" applyFont="1" applyFill="1"/>
    <xf numFmtId="0" fontId="8" fillId="0" borderId="0" xfId="0" applyFont="1" applyFill="1" applyAlignment="1">
      <alignment horizontal="left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horizontal="center"/>
    </xf>
    <xf numFmtId="164" fontId="5" fillId="0" borderId="1" xfId="2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0" fontId="5" fillId="0" borderId="1" xfId="1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/>
    </xf>
    <xf numFmtId="2" fontId="5" fillId="0" borderId="1" xfId="2" applyNumberFormat="1" applyFont="1" applyFill="1" applyBorder="1" applyAlignment="1">
      <alignment horizontal="center"/>
    </xf>
    <xf numFmtId="166" fontId="5" fillId="0" borderId="1" xfId="1" applyNumberFormat="1" applyFont="1" applyFill="1" applyBorder="1" applyAlignment="1">
      <alignment horizontal="center"/>
    </xf>
    <xf numFmtId="0" fontId="2" fillId="2" borderId="0" xfId="0" applyFont="1" applyFill="1" applyAlignment="1">
      <alignment horizontal="justify" vertical="center"/>
    </xf>
    <xf numFmtId="164" fontId="5" fillId="0" borderId="0" xfId="2" applyFont="1"/>
    <xf numFmtId="164" fontId="4" fillId="0" borderId="1" xfId="2" applyFont="1" applyBorder="1" applyAlignment="1">
      <alignment horizontal="right" vertical="center" wrapText="1"/>
    </xf>
    <xf numFmtId="164" fontId="4" fillId="0" borderId="6" xfId="2" applyFont="1" applyBorder="1" applyAlignment="1">
      <alignment horizontal="right" vertical="center" wrapText="1"/>
    </xf>
    <xf numFmtId="164" fontId="3" fillId="0" borderId="1" xfId="2" applyFont="1" applyBorder="1"/>
    <xf numFmtId="164" fontId="5" fillId="0" borderId="1" xfId="2" applyFont="1" applyFill="1" applyBorder="1"/>
    <xf numFmtId="164" fontId="4" fillId="0" borderId="1" xfId="2" applyFont="1" applyFill="1" applyBorder="1" applyAlignment="1">
      <alignment vertical="center" wrapText="1"/>
    </xf>
    <xf numFmtId="164" fontId="3" fillId="0" borderId="1" xfId="2" applyFont="1" applyFill="1" applyBorder="1"/>
    <xf numFmtId="164" fontId="7" fillId="0" borderId="1" xfId="2" applyFont="1" applyBorder="1"/>
    <xf numFmtId="164" fontId="3" fillId="0" borderId="0" xfId="2" applyFont="1"/>
    <xf numFmtId="164" fontId="7" fillId="0" borderId="1" xfId="2" applyFont="1" applyFill="1" applyBorder="1"/>
    <xf numFmtId="164" fontId="5" fillId="0" borderId="0" xfId="2" applyFont="1" applyFill="1"/>
    <xf numFmtId="0" fontId="5" fillId="0" borderId="0" xfId="0" applyFont="1" applyFill="1" applyBorder="1"/>
    <xf numFmtId="0" fontId="3" fillId="0" borderId="1" xfId="0" applyFont="1" applyFill="1" applyBorder="1"/>
    <xf numFmtId="0" fontId="2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64" fontId="8" fillId="0" borderId="1" xfId="2" applyFont="1" applyBorder="1" applyAlignment="1">
      <alignment horizontal="center" vertical="center"/>
    </xf>
    <xf numFmtId="166" fontId="5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3" fillId="2" borderId="1" xfId="0" applyFont="1" applyFill="1" applyBorder="1"/>
    <xf numFmtId="0" fontId="5" fillId="2" borderId="1" xfId="0" applyFont="1" applyFill="1" applyBorder="1"/>
    <xf numFmtId="166" fontId="5" fillId="2" borderId="1" xfId="1" applyNumberFormat="1" applyFont="1" applyFill="1" applyBorder="1"/>
    <xf numFmtId="43" fontId="5" fillId="0" borderId="0" xfId="0" applyNumberFormat="1" applyFont="1"/>
    <xf numFmtId="164" fontId="3" fillId="2" borderId="1" xfId="2" applyFont="1" applyFill="1" applyBorder="1"/>
    <xf numFmtId="164" fontId="5" fillId="2" borderId="1" xfId="2" applyFont="1" applyFill="1" applyBorder="1"/>
    <xf numFmtId="167" fontId="5" fillId="0" borderId="0" xfId="0" applyNumberFormat="1" applyFont="1"/>
    <xf numFmtId="0" fontId="5" fillId="0" borderId="1" xfId="0" applyFont="1" applyFill="1" applyBorder="1" applyAlignment="1">
      <alignment horizontal="center" vertical="center"/>
    </xf>
    <xf numFmtId="164" fontId="5" fillId="0" borderId="0" xfId="0" applyNumberFormat="1" applyFont="1"/>
    <xf numFmtId="164" fontId="5" fillId="0" borderId="1" xfId="0" applyNumberFormat="1" applyFont="1" applyBorder="1"/>
    <xf numFmtId="165" fontId="3" fillId="0" borderId="1" xfId="2" applyNumberFormat="1" applyFont="1" applyBorder="1"/>
    <xf numFmtId="165" fontId="4" fillId="0" borderId="1" xfId="2" applyNumberFormat="1" applyFont="1" applyBorder="1" applyAlignment="1">
      <alignment horizontal="right" vertical="center" wrapText="1"/>
    </xf>
    <xf numFmtId="165" fontId="5" fillId="0" borderId="1" xfId="2" applyNumberFormat="1" applyFont="1" applyFill="1" applyBorder="1"/>
    <xf numFmtId="165" fontId="5" fillId="0" borderId="0" xfId="2" applyNumberFormat="1" applyFont="1"/>
    <xf numFmtId="165" fontId="5" fillId="0" borderId="1" xfId="2" applyNumberFormat="1" applyFont="1" applyBorder="1"/>
    <xf numFmtId="171" fontId="2" fillId="0" borderId="1" xfId="0" applyNumberFormat="1" applyFont="1" applyBorder="1"/>
    <xf numFmtId="172" fontId="2" fillId="0" borderId="0" xfId="0" applyNumberFormat="1" applyFont="1"/>
    <xf numFmtId="0" fontId="5" fillId="0" borderId="0" xfId="0" quotePrefix="1" applyFont="1"/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Font="1"/>
    <xf numFmtId="0" fontId="17" fillId="0" borderId="1" xfId="0" applyFont="1" applyFill="1" applyBorder="1"/>
    <xf numFmtId="0" fontId="17" fillId="0" borderId="1" xfId="0" applyFont="1" applyFill="1" applyBorder="1" applyAlignment="1">
      <alignment horizontal="center"/>
    </xf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164" fontId="5" fillId="0" borderId="0" xfId="2" applyFont="1" applyBorder="1"/>
    <xf numFmtId="164" fontId="5" fillId="0" borderId="1" xfId="2" applyFont="1" applyBorder="1" applyAlignment="1">
      <alignment horizontal="right"/>
    </xf>
    <xf numFmtId="164" fontId="5" fillId="0" borderId="1" xfId="2" applyFont="1" applyBorder="1" applyAlignment="1">
      <alignment horizontal="left"/>
    </xf>
    <xf numFmtId="165" fontId="5" fillId="0" borderId="1" xfId="3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right"/>
    </xf>
    <xf numFmtId="164" fontId="3" fillId="0" borderId="1" xfId="2" applyFont="1" applyBorder="1" applyAlignment="1">
      <alignment horizontal="left"/>
    </xf>
    <xf numFmtId="165" fontId="3" fillId="0" borderId="1" xfId="3" applyNumberFormat="1" applyFont="1" applyBorder="1" applyAlignment="1">
      <alignment horizontal="right"/>
    </xf>
    <xf numFmtId="164" fontId="3" fillId="0" borderId="1" xfId="2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10" fontId="3" fillId="0" borderId="1" xfId="1" applyNumberFormat="1" applyFont="1" applyFill="1" applyBorder="1"/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9" fontId="3" fillId="0" borderId="1" xfId="1" applyFont="1" applyBorder="1" applyAlignment="1">
      <alignment horizontal="center"/>
    </xf>
    <xf numFmtId="167" fontId="5" fillId="0" borderId="1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3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2" borderId="3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</cellXfs>
  <cellStyles count="11">
    <cellStyle name="Moeda" xfId="3" builtinId="4"/>
    <cellStyle name="Moeda 2" xfId="5"/>
    <cellStyle name="Normal" xfId="0" builtinId="0"/>
    <cellStyle name="Normal 2" xfId="4"/>
    <cellStyle name="Normal 2 2" xfId="7"/>
    <cellStyle name="Porcentagem" xfId="1" builtinId="5"/>
    <cellStyle name="Porcentagem 2 2" xfId="8"/>
    <cellStyle name="Separador de milhares" xfId="2" builtinId="3"/>
    <cellStyle name="Separador de milhares [0] 2" xfId="6"/>
    <cellStyle name="Separador de milhares 2" xfId="9"/>
    <cellStyle name="Separador de milhares 5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173"/>
  <sheetViews>
    <sheetView tabSelected="1" topLeftCell="H1" zoomScale="90" zoomScaleNormal="90" workbookViewId="0">
      <selection activeCell="N173" sqref="N173"/>
    </sheetView>
  </sheetViews>
  <sheetFormatPr defaultColWidth="9.140625" defaultRowHeight="15.75"/>
  <cols>
    <col min="1" max="1" width="9.140625" style="7"/>
    <col min="2" max="2" width="50.85546875" style="7" customWidth="1"/>
    <col min="3" max="3" width="15.85546875" style="7" bestFit="1" customWidth="1"/>
    <col min="4" max="4" width="17.7109375" style="7" bestFit="1" customWidth="1"/>
    <col min="5" max="5" width="24.28515625" style="7" bestFit="1" customWidth="1"/>
    <col min="6" max="6" width="16.140625" style="7" customWidth="1"/>
    <col min="7" max="7" width="19.28515625" style="7" customWidth="1"/>
    <col min="8" max="8" width="8.140625" style="7" customWidth="1"/>
    <col min="9" max="9" width="43" style="7" bestFit="1" customWidth="1"/>
    <col min="10" max="11" width="19.28515625" style="7" customWidth="1"/>
    <col min="12" max="12" width="9.7109375" style="7" customWidth="1"/>
    <col min="13" max="13" width="55.42578125" style="7" customWidth="1"/>
    <col min="14" max="14" width="22.28515625" style="11" bestFit="1" customWidth="1"/>
    <col min="15" max="23" width="22.28515625" style="7" bestFit="1" customWidth="1"/>
    <col min="24" max="24" width="9.140625" style="7"/>
    <col min="25" max="25" width="41.85546875" style="7" customWidth="1"/>
    <col min="26" max="26" width="16.42578125" style="7" bestFit="1" customWidth="1"/>
    <col min="27" max="28" width="13.42578125" style="7" bestFit="1" customWidth="1"/>
    <col min="29" max="29" width="13.140625" style="7" bestFit="1" customWidth="1"/>
    <col min="30" max="16384" width="9.140625" style="7"/>
  </cols>
  <sheetData>
    <row r="2" spans="2:25">
      <c r="B2" s="129" t="s">
        <v>6</v>
      </c>
      <c r="C2" s="129"/>
      <c r="D2" s="129"/>
      <c r="E2" s="129" t="s">
        <v>7</v>
      </c>
      <c r="F2" s="129"/>
      <c r="G2" s="129"/>
      <c r="H2" s="9"/>
      <c r="I2" s="139" t="s">
        <v>348</v>
      </c>
      <c r="J2" s="139"/>
      <c r="K2" s="139"/>
      <c r="M2" s="87" t="s">
        <v>175</v>
      </c>
      <c r="N2" s="18">
        <f>+J3</f>
        <v>2017</v>
      </c>
      <c r="O2" s="18">
        <f>+K3</f>
        <v>2018</v>
      </c>
      <c r="P2" s="18">
        <v>2019</v>
      </c>
      <c r="Q2" s="18">
        <v>2020</v>
      </c>
      <c r="R2" s="18">
        <v>2021</v>
      </c>
      <c r="S2" s="18">
        <v>2022</v>
      </c>
      <c r="T2" s="18">
        <v>2023</v>
      </c>
      <c r="U2" s="18">
        <v>2024</v>
      </c>
      <c r="V2" s="18">
        <v>2025</v>
      </c>
      <c r="W2" s="18">
        <v>2026</v>
      </c>
    </row>
    <row r="3" spans="2:25">
      <c r="B3" s="8"/>
      <c r="C3" s="94">
        <v>2017</v>
      </c>
      <c r="D3" s="94">
        <v>2018</v>
      </c>
      <c r="E3" s="94"/>
      <c r="F3" s="94">
        <f>+C3</f>
        <v>2017</v>
      </c>
      <c r="G3" s="94">
        <f>+D3</f>
        <v>2018</v>
      </c>
      <c r="H3" s="9"/>
      <c r="I3" s="8" t="s">
        <v>362</v>
      </c>
      <c r="J3" s="94">
        <f>+F3</f>
        <v>2017</v>
      </c>
      <c r="K3" s="94">
        <f>+G3</f>
        <v>2018</v>
      </c>
      <c r="M3" s="6" t="s">
        <v>333</v>
      </c>
      <c r="N3" s="61">
        <f>121*261</f>
        <v>31581</v>
      </c>
      <c r="O3" s="61">
        <f>N3*1.01</f>
        <v>31896.81</v>
      </c>
      <c r="P3" s="61">
        <f t="shared" ref="P3:W3" si="0">O3*1.01</f>
        <v>32215.778100000003</v>
      </c>
      <c r="Q3" s="61">
        <f t="shared" si="0"/>
        <v>32537.935881000005</v>
      </c>
      <c r="R3" s="61">
        <f t="shared" si="0"/>
        <v>32863.315239810006</v>
      </c>
      <c r="S3" s="61">
        <f t="shared" si="0"/>
        <v>33191.948392208105</v>
      </c>
      <c r="T3" s="61">
        <f t="shared" si="0"/>
        <v>33523.867876130185</v>
      </c>
      <c r="U3" s="61">
        <f t="shared" si="0"/>
        <v>33859.106554891485</v>
      </c>
      <c r="V3" s="61">
        <f t="shared" si="0"/>
        <v>34197.697620440398</v>
      </c>
      <c r="W3" s="61">
        <f t="shared" si="0"/>
        <v>34539.6745966448</v>
      </c>
    </row>
    <row r="4" spans="2:25">
      <c r="B4" s="8" t="s">
        <v>42</v>
      </c>
      <c r="C4" s="49">
        <f>(+C5+C6+C7)</f>
        <v>1522203.3499999999</v>
      </c>
      <c r="D4" s="49">
        <f>(+D5+D6+D7)</f>
        <v>488247.19</v>
      </c>
      <c r="E4" s="8" t="s">
        <v>47</v>
      </c>
      <c r="F4" s="49">
        <f>+F5+F6+F7+F8+F9</f>
        <v>63976.840000000004</v>
      </c>
      <c r="G4" s="49">
        <f>+G5+G6+G7+G8+G9</f>
        <v>58267.649999999994</v>
      </c>
      <c r="H4" s="120"/>
      <c r="I4" s="93" t="s">
        <v>349</v>
      </c>
      <c r="J4" s="121">
        <v>772587.38</v>
      </c>
      <c r="K4" s="121">
        <v>683514.26</v>
      </c>
      <c r="M4" s="6" t="s">
        <v>332</v>
      </c>
      <c r="N4" s="79">
        <v>40</v>
      </c>
      <c r="O4" s="79">
        <f>+N4*1.01</f>
        <v>40.4</v>
      </c>
      <c r="P4" s="79">
        <f t="shared" ref="P4:W4" si="1">+O4*1.01</f>
        <v>40.804000000000002</v>
      </c>
      <c r="Q4" s="79">
        <f t="shared" si="1"/>
        <v>41.212040000000002</v>
      </c>
      <c r="R4" s="79">
        <f t="shared" si="1"/>
        <v>41.624160400000001</v>
      </c>
      <c r="S4" s="79">
        <f t="shared" si="1"/>
        <v>42.040402004000001</v>
      </c>
      <c r="T4" s="79">
        <f t="shared" si="1"/>
        <v>42.460806024040004</v>
      </c>
      <c r="U4" s="79">
        <f t="shared" si="1"/>
        <v>42.885414084280406</v>
      </c>
      <c r="V4" s="79">
        <f t="shared" si="1"/>
        <v>43.314268225123207</v>
      </c>
      <c r="W4" s="79">
        <f t="shared" si="1"/>
        <v>43.747410907374437</v>
      </c>
    </row>
    <row r="5" spans="2:25">
      <c r="B5" s="8" t="s">
        <v>63</v>
      </c>
      <c r="C5" s="49">
        <v>112041.69</v>
      </c>
      <c r="D5" s="49">
        <v>311182.37</v>
      </c>
      <c r="E5" s="8" t="s">
        <v>48</v>
      </c>
      <c r="F5" s="8"/>
      <c r="G5" s="49">
        <v>6750</v>
      </c>
      <c r="H5" s="120"/>
      <c r="I5" s="122" t="s">
        <v>350</v>
      </c>
      <c r="J5" s="121">
        <v>-48670.45</v>
      </c>
      <c r="K5" s="121">
        <v>-16035.46</v>
      </c>
      <c r="M5" s="6" t="s">
        <v>334</v>
      </c>
      <c r="N5" s="61">
        <f>109*104</f>
        <v>11336</v>
      </c>
      <c r="O5" s="61">
        <f t="shared" ref="O5:W5" si="2">109*104</f>
        <v>11336</v>
      </c>
      <c r="P5" s="61">
        <f t="shared" si="2"/>
        <v>11336</v>
      </c>
      <c r="Q5" s="61">
        <f t="shared" si="2"/>
        <v>11336</v>
      </c>
      <c r="R5" s="61">
        <f t="shared" si="2"/>
        <v>11336</v>
      </c>
      <c r="S5" s="61">
        <f t="shared" si="2"/>
        <v>11336</v>
      </c>
      <c r="T5" s="61">
        <f t="shared" si="2"/>
        <v>11336</v>
      </c>
      <c r="U5" s="61">
        <f t="shared" si="2"/>
        <v>11336</v>
      </c>
      <c r="V5" s="61">
        <f t="shared" si="2"/>
        <v>11336</v>
      </c>
      <c r="W5" s="61">
        <f t="shared" si="2"/>
        <v>11336</v>
      </c>
    </row>
    <row r="6" spans="2:25">
      <c r="B6" s="8" t="s">
        <v>346</v>
      </c>
      <c r="C6" s="49">
        <v>1410161.66</v>
      </c>
      <c r="D6" s="49">
        <v>177064.82</v>
      </c>
      <c r="E6" s="8" t="s">
        <v>49</v>
      </c>
      <c r="F6" s="49">
        <v>45534.54</v>
      </c>
      <c r="G6" s="49">
        <v>36288.519999999997</v>
      </c>
      <c r="H6" s="120"/>
      <c r="I6" s="126" t="s">
        <v>351</v>
      </c>
      <c r="J6" s="128">
        <f>SUM(J4:J5)</f>
        <v>723916.93</v>
      </c>
      <c r="K6" s="128">
        <f>SUM(K4:K5)</f>
        <v>667478.80000000005</v>
      </c>
      <c r="M6" s="6" t="s">
        <v>332</v>
      </c>
      <c r="N6" s="79">
        <f>+N4*0.5</f>
        <v>20</v>
      </c>
      <c r="O6" s="79">
        <f>+N6*1.01</f>
        <v>20.2</v>
      </c>
      <c r="P6" s="79">
        <f t="shared" ref="P6:W6" si="3">+O6*1.01</f>
        <v>20.402000000000001</v>
      </c>
      <c r="Q6" s="79">
        <f t="shared" si="3"/>
        <v>20.606020000000001</v>
      </c>
      <c r="R6" s="79">
        <f t="shared" si="3"/>
        <v>20.8120802</v>
      </c>
      <c r="S6" s="79">
        <f t="shared" si="3"/>
        <v>21.020201002</v>
      </c>
      <c r="T6" s="79">
        <f t="shared" si="3"/>
        <v>21.230403012020002</v>
      </c>
      <c r="U6" s="79">
        <f t="shared" si="3"/>
        <v>21.442707042140203</v>
      </c>
      <c r="V6" s="79">
        <f t="shared" si="3"/>
        <v>21.657134112561604</v>
      </c>
      <c r="W6" s="79">
        <f t="shared" si="3"/>
        <v>21.873705453687219</v>
      </c>
      <c r="Y6" s="101">
        <f>+W3+W5</f>
        <v>45875.6745966448</v>
      </c>
    </row>
    <row r="7" spans="2:25">
      <c r="B7" s="8"/>
      <c r="C7" s="49"/>
      <c r="D7" s="49"/>
      <c r="E7" s="8" t="s">
        <v>50</v>
      </c>
      <c r="F7" s="49">
        <v>3146.76</v>
      </c>
      <c r="G7" s="49">
        <v>224.77</v>
      </c>
      <c r="H7" s="120"/>
      <c r="I7" s="122" t="s">
        <v>352</v>
      </c>
      <c r="J7" s="121">
        <v>-18054</v>
      </c>
      <c r="K7" s="121">
        <v>-18559.53</v>
      </c>
      <c r="M7" s="95" t="s">
        <v>68</v>
      </c>
      <c r="N7" s="99">
        <f>+(N3*N4)+(N5*N6)</f>
        <v>1489960</v>
      </c>
      <c r="O7" s="99">
        <f t="shared" ref="O7:W7" si="4">+(O3*O4)+(O5*O6)</f>
        <v>1517618.324</v>
      </c>
      <c r="P7" s="99">
        <f t="shared" si="4"/>
        <v>1545809.6815924002</v>
      </c>
      <c r="Q7" s="99">
        <f t="shared" si="4"/>
        <v>1574544.5577652075</v>
      </c>
      <c r="R7" s="99">
        <f t="shared" si="4"/>
        <v>1603833.6459648162</v>
      </c>
      <c r="S7" s="99">
        <f t="shared" si="4"/>
        <v>1633687.8522631221</v>
      </c>
      <c r="T7" s="99">
        <f t="shared" si="4"/>
        <v>1664118.2996081687</v>
      </c>
      <c r="U7" s="99">
        <f t="shared" si="4"/>
        <v>1695136.3321599956</v>
      </c>
      <c r="V7" s="99">
        <f t="shared" si="4"/>
        <v>1726753.5197134116</v>
      </c>
      <c r="W7" s="99">
        <f t="shared" si="4"/>
        <v>1758981.6622094207</v>
      </c>
      <c r="Y7" s="7">
        <v>365</v>
      </c>
    </row>
    <row r="8" spans="2:25">
      <c r="B8" s="8" t="s">
        <v>342</v>
      </c>
      <c r="C8" s="49">
        <v>11864.66</v>
      </c>
      <c r="D8" s="49">
        <v>11864.66</v>
      </c>
      <c r="E8" s="8" t="s">
        <v>343</v>
      </c>
      <c r="F8" s="49">
        <v>15295.54</v>
      </c>
      <c r="G8" s="49">
        <v>15004.36</v>
      </c>
      <c r="H8" s="120"/>
      <c r="I8" s="124" t="s">
        <v>360</v>
      </c>
      <c r="J8" s="125">
        <f>SUM(J6:J7)</f>
        <v>705862.93</v>
      </c>
      <c r="K8" s="125">
        <f>SUM(K6:K7)</f>
        <v>648919.27</v>
      </c>
      <c r="N8" s="62">
        <f t="shared" ref="N8:W8" si="5">N7-N30</f>
        <v>0</v>
      </c>
      <c r="O8" s="75">
        <f t="shared" si="5"/>
        <v>0</v>
      </c>
      <c r="P8" s="75">
        <f t="shared" si="5"/>
        <v>0</v>
      </c>
      <c r="Q8" s="75">
        <f t="shared" si="5"/>
        <v>0</v>
      </c>
      <c r="R8" s="75">
        <f t="shared" si="5"/>
        <v>0</v>
      </c>
      <c r="S8" s="75">
        <f t="shared" si="5"/>
        <v>0</v>
      </c>
      <c r="T8" s="75">
        <f t="shared" si="5"/>
        <v>0</v>
      </c>
      <c r="U8" s="75">
        <f t="shared" si="5"/>
        <v>0</v>
      </c>
      <c r="V8" s="75">
        <f t="shared" si="5"/>
        <v>0</v>
      </c>
      <c r="W8" s="75">
        <f t="shared" si="5"/>
        <v>0</v>
      </c>
      <c r="Y8" s="7">
        <f>+Y6/Y7</f>
        <v>125.68677971683506</v>
      </c>
    </row>
    <row r="9" spans="2:25">
      <c r="B9" s="8" t="s">
        <v>43</v>
      </c>
      <c r="C9" s="49">
        <f>+C10-C11</f>
        <v>438681.30999999994</v>
      </c>
      <c r="D9" s="49">
        <f>+D10-D11</f>
        <v>531606.28999999992</v>
      </c>
      <c r="E9" s="8"/>
      <c r="F9" s="8"/>
      <c r="G9" s="49"/>
      <c r="H9" s="120"/>
      <c r="I9" s="122" t="s">
        <v>353</v>
      </c>
      <c r="J9" s="121">
        <v>-204665.99</v>
      </c>
      <c r="K9" s="121">
        <v>-234496.99</v>
      </c>
      <c r="M9" s="87" t="s">
        <v>176</v>
      </c>
      <c r="N9" s="18">
        <f t="shared" ref="N9:W9" si="6">+N2</f>
        <v>2017</v>
      </c>
      <c r="O9" s="37">
        <f t="shared" si="6"/>
        <v>2018</v>
      </c>
      <c r="P9" s="37">
        <f t="shared" si="6"/>
        <v>2019</v>
      </c>
      <c r="Q9" s="37">
        <f t="shared" si="6"/>
        <v>2020</v>
      </c>
      <c r="R9" s="37">
        <f t="shared" si="6"/>
        <v>2021</v>
      </c>
      <c r="S9" s="37">
        <f t="shared" si="6"/>
        <v>2022</v>
      </c>
      <c r="T9" s="37">
        <f t="shared" si="6"/>
        <v>2023</v>
      </c>
      <c r="U9" s="37">
        <f t="shared" si="6"/>
        <v>2024</v>
      </c>
      <c r="V9" s="37">
        <f t="shared" si="6"/>
        <v>2025</v>
      </c>
      <c r="W9" s="37">
        <f t="shared" si="6"/>
        <v>2026</v>
      </c>
      <c r="Y9" s="36"/>
    </row>
    <row r="10" spans="2:25">
      <c r="B10" s="8" t="s">
        <v>44</v>
      </c>
      <c r="C10" s="49">
        <v>602906.85</v>
      </c>
      <c r="D10" s="49">
        <v>698683.71</v>
      </c>
      <c r="E10" s="8" t="s">
        <v>51</v>
      </c>
      <c r="F10" s="49">
        <f>+F11+F12</f>
        <v>1908772.48</v>
      </c>
      <c r="G10" s="49">
        <f>+G11+G12</f>
        <v>973450.49</v>
      </c>
      <c r="H10" s="120"/>
      <c r="I10" s="122" t="s">
        <v>354</v>
      </c>
      <c r="J10" s="121">
        <v>-15443.95</v>
      </c>
      <c r="K10" s="121">
        <v>-22455.38</v>
      </c>
      <c r="M10" s="8" t="s">
        <v>336</v>
      </c>
      <c r="N10" s="79">
        <f>2500*12*-1</f>
        <v>-30000</v>
      </c>
      <c r="O10" s="79">
        <f t="shared" ref="O10:W10" si="7">2500*12*-1</f>
        <v>-30000</v>
      </c>
      <c r="P10" s="79">
        <f t="shared" si="7"/>
        <v>-30000</v>
      </c>
      <c r="Q10" s="79">
        <f t="shared" si="7"/>
        <v>-30000</v>
      </c>
      <c r="R10" s="79">
        <f t="shared" si="7"/>
        <v>-30000</v>
      </c>
      <c r="S10" s="79">
        <f t="shared" si="7"/>
        <v>-30000</v>
      </c>
      <c r="T10" s="79">
        <f t="shared" si="7"/>
        <v>-30000</v>
      </c>
      <c r="U10" s="79">
        <f t="shared" si="7"/>
        <v>-30000</v>
      </c>
      <c r="V10" s="79">
        <f t="shared" si="7"/>
        <v>-30000</v>
      </c>
      <c r="W10" s="79">
        <f t="shared" si="7"/>
        <v>-30000</v>
      </c>
    </row>
    <row r="11" spans="2:25">
      <c r="B11" s="8" t="s">
        <v>45</v>
      </c>
      <c r="C11" s="49">
        <v>164225.54</v>
      </c>
      <c r="D11" s="49">
        <v>167077.42000000001</v>
      </c>
      <c r="E11" s="8" t="s">
        <v>62</v>
      </c>
      <c r="F11" s="49">
        <v>240000</v>
      </c>
      <c r="G11" s="49">
        <v>240000</v>
      </c>
      <c r="H11" s="120"/>
      <c r="I11" s="122" t="s">
        <v>361</v>
      </c>
      <c r="J11" s="121">
        <v>-47501.48</v>
      </c>
      <c r="K11" s="121">
        <v>-41268.300000000003</v>
      </c>
      <c r="M11" s="35" t="s">
        <v>338</v>
      </c>
      <c r="N11" s="79">
        <f>+N7*0.08*-1</f>
        <v>-119196.8</v>
      </c>
      <c r="O11" s="79">
        <f t="shared" ref="O11:W11" si="8">+O7*0.08*-1</f>
        <v>-121409.46592</v>
      </c>
      <c r="P11" s="79">
        <f t="shared" si="8"/>
        <v>-123664.77452739202</v>
      </c>
      <c r="Q11" s="79">
        <f t="shared" si="8"/>
        <v>-125963.5646212166</v>
      </c>
      <c r="R11" s="79">
        <f t="shared" si="8"/>
        <v>-128306.6916771853</v>
      </c>
      <c r="S11" s="79">
        <f t="shared" si="8"/>
        <v>-130695.02818104977</v>
      </c>
      <c r="T11" s="79">
        <f t="shared" si="8"/>
        <v>-133129.46396865349</v>
      </c>
      <c r="U11" s="79">
        <f t="shared" si="8"/>
        <v>-135610.90657279963</v>
      </c>
      <c r="V11" s="79">
        <f t="shared" si="8"/>
        <v>-138140.28157707292</v>
      </c>
      <c r="W11" s="79">
        <f t="shared" si="8"/>
        <v>-140718.53297675366</v>
      </c>
      <c r="X11" s="7">
        <v>2</v>
      </c>
    </row>
    <row r="12" spans="2:25">
      <c r="B12" s="8"/>
      <c r="C12" s="8"/>
      <c r="D12" s="8"/>
      <c r="E12" s="8" t="s">
        <v>52</v>
      </c>
      <c r="F12" s="49">
        <v>1668772.48</v>
      </c>
      <c r="G12" s="49">
        <f>314451.28+418999.21</f>
        <v>733450.49</v>
      </c>
      <c r="H12" s="120"/>
      <c r="I12" s="122" t="s">
        <v>355</v>
      </c>
      <c r="J12" s="121">
        <v>-27.15</v>
      </c>
      <c r="K12" s="121">
        <v>-562.9</v>
      </c>
      <c r="M12" s="35" t="s">
        <v>340</v>
      </c>
      <c r="N12" s="79">
        <f>+N7*0.03*-1</f>
        <v>-44698.799999999996</v>
      </c>
      <c r="O12" s="79">
        <f t="shared" ref="O12:W12" si="9">+O7*0.03*-1</f>
        <v>-45528.549719999995</v>
      </c>
      <c r="P12" s="79">
        <f t="shared" si="9"/>
        <v>-46374.290447772</v>
      </c>
      <c r="Q12" s="79">
        <f t="shared" si="9"/>
        <v>-47236.336732956224</v>
      </c>
      <c r="R12" s="79">
        <f t="shared" si="9"/>
        <v>-48115.009378944487</v>
      </c>
      <c r="S12" s="79">
        <f t="shared" si="9"/>
        <v>-49010.63556789366</v>
      </c>
      <c r="T12" s="79">
        <f t="shared" si="9"/>
        <v>-49923.548988245057</v>
      </c>
      <c r="U12" s="79">
        <f t="shared" si="9"/>
        <v>-50854.089964799867</v>
      </c>
      <c r="V12" s="79">
        <f t="shared" si="9"/>
        <v>-51802.605591402345</v>
      </c>
      <c r="W12" s="79">
        <f t="shared" si="9"/>
        <v>-52769.449866282615</v>
      </c>
    </row>
    <row r="13" spans="2:25">
      <c r="B13" s="8"/>
      <c r="C13" s="8"/>
      <c r="D13" s="8"/>
      <c r="E13" s="8"/>
      <c r="F13" s="49"/>
      <c r="G13" s="49"/>
      <c r="H13" s="120"/>
      <c r="I13" s="126" t="s">
        <v>356</v>
      </c>
      <c r="J13" s="128">
        <f>SUM(J8:J12)</f>
        <v>438224.36000000004</v>
      </c>
      <c r="K13" s="128">
        <f>SUM(K8:K12)</f>
        <v>350135.7</v>
      </c>
      <c r="M13" s="35" t="s">
        <v>341</v>
      </c>
      <c r="N13" s="79">
        <f>+N7*0.055*-1</f>
        <v>-81947.8</v>
      </c>
      <c r="O13" s="79">
        <f t="shared" ref="O13:W13" si="10">+O7*0.055*-1</f>
        <v>-83469.007819999999</v>
      </c>
      <c r="P13" s="79">
        <f t="shared" si="10"/>
        <v>-85019.532487582008</v>
      </c>
      <c r="Q13" s="79">
        <f t="shared" si="10"/>
        <v>-86599.95067708641</v>
      </c>
      <c r="R13" s="79">
        <f t="shared" si="10"/>
        <v>-88210.850528064897</v>
      </c>
      <c r="S13" s="79">
        <f t="shared" si="10"/>
        <v>-89852.831874471711</v>
      </c>
      <c r="T13" s="79">
        <f t="shared" si="10"/>
        <v>-91526.506478449272</v>
      </c>
      <c r="U13" s="79">
        <f t="shared" si="10"/>
        <v>-93232.498268799754</v>
      </c>
      <c r="V13" s="79">
        <f t="shared" si="10"/>
        <v>-94971.443584237641</v>
      </c>
      <c r="W13" s="79">
        <f t="shared" si="10"/>
        <v>-96743.991421518134</v>
      </c>
    </row>
    <row r="14" spans="2:25">
      <c r="B14" s="8" t="s">
        <v>46</v>
      </c>
      <c r="C14" s="49">
        <f>+C9+C8+C4</f>
        <v>1972749.3199999998</v>
      </c>
      <c r="D14" s="49">
        <f>+D9+D8+D4</f>
        <v>1031718.1399999999</v>
      </c>
      <c r="E14" s="8" t="s">
        <v>46</v>
      </c>
      <c r="F14" s="49">
        <f>+F4+F10</f>
        <v>1972749.32</v>
      </c>
      <c r="G14" s="49">
        <f>+G4+G10</f>
        <v>1031718.14</v>
      </c>
      <c r="H14" s="120"/>
      <c r="I14" s="122" t="s">
        <v>357</v>
      </c>
      <c r="J14" s="121">
        <v>112541.08</v>
      </c>
      <c r="K14" s="121">
        <v>68863.509999999995</v>
      </c>
      <c r="M14" s="39" t="s">
        <v>177</v>
      </c>
      <c r="N14" s="81">
        <f>SUM(N10:N13)</f>
        <v>-275843.39999999997</v>
      </c>
      <c r="O14" s="81">
        <f t="shared" ref="O14:W14" si="11">SUM(O10:O13)</f>
        <v>-280407.02346</v>
      </c>
      <c r="P14" s="81">
        <f t="shared" si="11"/>
        <v>-285058.59746274602</v>
      </c>
      <c r="Q14" s="81">
        <f t="shared" si="11"/>
        <v>-289799.85203125927</v>
      </c>
      <c r="R14" s="81">
        <f t="shared" si="11"/>
        <v>-294632.55158419471</v>
      </c>
      <c r="S14" s="81">
        <f t="shared" si="11"/>
        <v>-299558.4956234151</v>
      </c>
      <c r="T14" s="81">
        <f t="shared" si="11"/>
        <v>-304579.51943534781</v>
      </c>
      <c r="U14" s="81">
        <f t="shared" si="11"/>
        <v>-309697.49480639928</v>
      </c>
      <c r="V14" s="81">
        <f t="shared" si="11"/>
        <v>-314914.33075271291</v>
      </c>
      <c r="W14" s="81">
        <f t="shared" si="11"/>
        <v>-320231.97426455439</v>
      </c>
    </row>
    <row r="15" spans="2:25">
      <c r="F15" s="13">
        <f>+F14-C14</f>
        <v>0</v>
      </c>
      <c r="G15" s="38">
        <f>+G14-D14</f>
        <v>0</v>
      </c>
      <c r="H15" s="38"/>
      <c r="I15" s="122" t="s">
        <v>358</v>
      </c>
      <c r="J15" s="121">
        <v>3715.66</v>
      </c>
      <c r="K15" s="123">
        <v>0</v>
      </c>
      <c r="M15" s="35" t="s">
        <v>67</v>
      </c>
      <c r="N15" s="79">
        <f>+N7*0.3*-1</f>
        <v>-446988</v>
      </c>
      <c r="O15" s="79">
        <f t="shared" ref="O15:W15" si="12">+O7*0.3*-1</f>
        <v>-455285.49719999998</v>
      </c>
      <c r="P15" s="79">
        <f t="shared" si="12"/>
        <v>-463742.90447772003</v>
      </c>
      <c r="Q15" s="79">
        <f t="shared" si="12"/>
        <v>-472363.3673295622</v>
      </c>
      <c r="R15" s="79">
        <f t="shared" si="12"/>
        <v>-481150.09378944483</v>
      </c>
      <c r="S15" s="79">
        <f t="shared" si="12"/>
        <v>-490106.35567893658</v>
      </c>
      <c r="T15" s="79">
        <f t="shared" si="12"/>
        <v>-499235.48988245055</v>
      </c>
      <c r="U15" s="79">
        <f t="shared" si="12"/>
        <v>-508540.89964799862</v>
      </c>
      <c r="V15" s="79">
        <f t="shared" si="12"/>
        <v>-518026.05591402343</v>
      </c>
      <c r="W15" s="79">
        <f t="shared" si="12"/>
        <v>-527694.49866282614</v>
      </c>
    </row>
    <row r="16" spans="2:25">
      <c r="I16" s="126" t="s">
        <v>359</v>
      </c>
      <c r="J16" s="127">
        <f>SUM(J13:J15)</f>
        <v>554481.10000000009</v>
      </c>
      <c r="K16" s="125">
        <f>SUM(K13:K15)</f>
        <v>418999.21</v>
      </c>
      <c r="M16" s="35" t="s">
        <v>335</v>
      </c>
      <c r="N16" s="79">
        <f>(6588.23529411765*8)*-1</f>
        <v>-52705.882352941197</v>
      </c>
      <c r="O16" s="49">
        <f>-242868.705882353/4</f>
        <v>-60717.176470588252</v>
      </c>
      <c r="P16" s="49">
        <v>-61627.934117647063</v>
      </c>
      <c r="Q16" s="49">
        <v>-62244.213458823535</v>
      </c>
      <c r="R16" s="49">
        <v>-62991.144020329411</v>
      </c>
      <c r="S16" s="49">
        <v>-63810.028892593691</v>
      </c>
      <c r="T16" s="49">
        <v>-64448.129181519631</v>
      </c>
      <c r="U16" s="49">
        <v>-65157.05860251635</v>
      </c>
      <c r="V16" s="49">
        <v>-66460.199774566674</v>
      </c>
      <c r="W16" s="49">
        <v>-67390.642571410601</v>
      </c>
    </row>
    <row r="17" spans="2:25">
      <c r="B17" s="136" t="s">
        <v>77</v>
      </c>
      <c r="C17" s="137"/>
      <c r="D17" s="137"/>
      <c r="E17" s="138"/>
      <c r="I17" s="126" t="s">
        <v>363</v>
      </c>
      <c r="J17" s="134">
        <f>+J16/J6</f>
        <v>0.76594575568221623</v>
      </c>
      <c r="K17" s="134">
        <f>+K16/K6</f>
        <v>0.62773410930804097</v>
      </c>
      <c r="M17" s="35" t="s">
        <v>339</v>
      </c>
      <c r="N17" s="79">
        <f>0.05*N7*-1</f>
        <v>-74498</v>
      </c>
      <c r="O17" s="79">
        <f t="shared" ref="O17:W17" si="13">0.05*O7*-1</f>
        <v>-75880.916200000007</v>
      </c>
      <c r="P17" s="79">
        <f t="shared" si="13"/>
        <v>-77290.484079620015</v>
      </c>
      <c r="Q17" s="79">
        <f t="shared" si="13"/>
        <v>-78727.227888260386</v>
      </c>
      <c r="R17" s="79">
        <f t="shared" si="13"/>
        <v>-80191.682298240819</v>
      </c>
      <c r="S17" s="79">
        <f t="shared" si="13"/>
        <v>-81684.392613156117</v>
      </c>
      <c r="T17" s="79">
        <f t="shared" si="13"/>
        <v>-83205.914980408445</v>
      </c>
      <c r="U17" s="79">
        <f t="shared" si="13"/>
        <v>-84756.81660799979</v>
      </c>
      <c r="V17" s="79">
        <f t="shared" si="13"/>
        <v>-86337.67598567059</v>
      </c>
      <c r="W17" s="79">
        <f t="shared" si="13"/>
        <v>-87949.083110471038</v>
      </c>
    </row>
    <row r="18" spans="2:25">
      <c r="B18" s="21"/>
      <c r="C18" s="22">
        <f>C3</f>
        <v>2017</v>
      </c>
      <c r="D18" s="22">
        <f>D3</f>
        <v>2018</v>
      </c>
      <c r="E18" s="22" t="s">
        <v>66</v>
      </c>
      <c r="M18" s="19" t="s">
        <v>178</v>
      </c>
      <c r="N18" s="81">
        <f>SUM(N15:N17)</f>
        <v>-574191.8823529412</v>
      </c>
      <c r="O18" s="81">
        <f t="shared" ref="O18:W18" si="14">SUM(O15:O17)</f>
        <v>-591883.58987058827</v>
      </c>
      <c r="P18" s="81">
        <f t="shared" si="14"/>
        <v>-602661.32267498702</v>
      </c>
      <c r="Q18" s="81">
        <f t="shared" si="14"/>
        <v>-613334.80867664609</v>
      </c>
      <c r="R18" s="81">
        <f t="shared" si="14"/>
        <v>-624332.92010801507</v>
      </c>
      <c r="S18" s="81">
        <f t="shared" si="14"/>
        <v>-635600.77718468639</v>
      </c>
      <c r="T18" s="81">
        <f t="shared" si="14"/>
        <v>-646889.53404437867</v>
      </c>
      <c r="U18" s="81">
        <f t="shared" si="14"/>
        <v>-658454.77485851478</v>
      </c>
      <c r="V18" s="81">
        <f t="shared" si="14"/>
        <v>-670823.93167426065</v>
      </c>
      <c r="W18" s="81">
        <f t="shared" si="14"/>
        <v>-683034.22434470779</v>
      </c>
    </row>
    <row r="19" spans="2:25">
      <c r="B19" s="23" t="str">
        <f>B6</f>
        <v xml:space="preserve">Contas a Receber </v>
      </c>
      <c r="C19" s="76">
        <f>+C6</f>
        <v>1410161.66</v>
      </c>
      <c r="D19" s="76">
        <f>+D6</f>
        <v>177064.82</v>
      </c>
      <c r="E19" s="76">
        <f>+C19-D19</f>
        <v>1233096.8399999999</v>
      </c>
      <c r="M19" s="95" t="s">
        <v>337</v>
      </c>
      <c r="N19" s="99">
        <f>+N18+N14</f>
        <v>-850035.28235294111</v>
      </c>
      <c r="O19" s="99">
        <f t="shared" ref="O19:W19" si="15">+O18+O14</f>
        <v>-872290.61333058821</v>
      </c>
      <c r="P19" s="99">
        <f t="shared" si="15"/>
        <v>-887719.92013773299</v>
      </c>
      <c r="Q19" s="99">
        <f t="shared" si="15"/>
        <v>-903134.66070790542</v>
      </c>
      <c r="R19" s="99">
        <f t="shared" si="15"/>
        <v>-918965.47169220983</v>
      </c>
      <c r="S19" s="99">
        <f t="shared" si="15"/>
        <v>-935159.27280810149</v>
      </c>
      <c r="T19" s="99">
        <f t="shared" si="15"/>
        <v>-951469.05347972643</v>
      </c>
      <c r="U19" s="99">
        <f t="shared" si="15"/>
        <v>-968152.26966491411</v>
      </c>
      <c r="V19" s="99">
        <f t="shared" si="15"/>
        <v>-985738.26242697355</v>
      </c>
      <c r="W19" s="99">
        <f t="shared" si="15"/>
        <v>-1003266.1986092622</v>
      </c>
      <c r="Y19" s="17"/>
    </row>
    <row r="20" spans="2:25">
      <c r="B20" s="23" t="str">
        <f>+B8</f>
        <v>Investimentos diversos</v>
      </c>
      <c r="C20" s="76">
        <f>+C8</f>
        <v>11864.66</v>
      </c>
      <c r="D20" s="76">
        <f>+D8</f>
        <v>11864.66</v>
      </c>
      <c r="E20" s="76">
        <f>+D20-C20</f>
        <v>0</v>
      </c>
      <c r="N20" s="12">
        <f t="shared" ref="N20:W20" si="16">+N19-N33</f>
        <v>0</v>
      </c>
      <c r="O20" s="13">
        <f t="shared" si="16"/>
        <v>0</v>
      </c>
      <c r="P20" s="13">
        <f t="shared" si="16"/>
        <v>0</v>
      </c>
      <c r="Q20" s="13">
        <f t="shared" si="16"/>
        <v>0</v>
      </c>
      <c r="R20" s="13">
        <f t="shared" si="16"/>
        <v>0</v>
      </c>
      <c r="S20" s="13">
        <f t="shared" si="16"/>
        <v>0</v>
      </c>
      <c r="T20" s="13">
        <f t="shared" si="16"/>
        <v>0</v>
      </c>
      <c r="U20" s="13">
        <f t="shared" si="16"/>
        <v>0</v>
      </c>
      <c r="V20" s="13">
        <f t="shared" si="16"/>
        <v>0</v>
      </c>
      <c r="W20" s="13">
        <f t="shared" si="16"/>
        <v>0</v>
      </c>
    </row>
    <row r="21" spans="2:25">
      <c r="B21" s="23" t="str">
        <f>B10</f>
        <v xml:space="preserve">Ativo Fixo </v>
      </c>
      <c r="C21" s="76">
        <f>+C10</f>
        <v>602906.85</v>
      </c>
      <c r="D21" s="76">
        <f>+D10</f>
        <v>698683.71</v>
      </c>
      <c r="E21" s="76">
        <f>+C21-D21</f>
        <v>-95776.859999999986</v>
      </c>
      <c r="M21" s="8" t="s">
        <v>179</v>
      </c>
      <c r="N21" s="6">
        <v>2015</v>
      </c>
      <c r="O21" s="8">
        <v>2016</v>
      </c>
      <c r="P21" s="8">
        <v>2017</v>
      </c>
      <c r="Q21" s="8">
        <v>2018</v>
      </c>
      <c r="R21" s="8">
        <v>2019</v>
      </c>
      <c r="S21" s="8">
        <v>2020</v>
      </c>
      <c r="T21" s="8">
        <v>2021</v>
      </c>
      <c r="U21" s="8">
        <v>2022</v>
      </c>
      <c r="V21" s="8">
        <v>2023</v>
      </c>
      <c r="W21" s="8">
        <v>2024</v>
      </c>
      <c r="Y21" s="7">
        <f>600/8</f>
        <v>75</v>
      </c>
    </row>
    <row r="22" spans="2:25">
      <c r="B22" s="8" t="s">
        <v>20</v>
      </c>
      <c r="C22" s="49"/>
      <c r="D22" s="49"/>
      <c r="E22" s="49">
        <f ca="1">SUM(E19:E22)</f>
        <v>1137319.98</v>
      </c>
      <c r="M22" s="8" t="s">
        <v>180</v>
      </c>
      <c r="N22" s="79">
        <v>0</v>
      </c>
      <c r="O22" s="79">
        <v>0</v>
      </c>
      <c r="P22" s="79">
        <v>0</v>
      </c>
      <c r="Q22" s="79">
        <v>0</v>
      </c>
      <c r="R22" s="79">
        <v>0</v>
      </c>
      <c r="S22" s="79">
        <v>0</v>
      </c>
      <c r="T22" s="79">
        <v>0</v>
      </c>
      <c r="U22" s="79">
        <v>0</v>
      </c>
      <c r="V22" s="79">
        <v>0</v>
      </c>
      <c r="W22" s="79">
        <v>0</v>
      </c>
    </row>
    <row r="23" spans="2:25">
      <c r="G23" s="33"/>
      <c r="H23" s="33"/>
      <c r="I23" s="33"/>
      <c r="J23" s="33"/>
      <c r="K23" s="33"/>
      <c r="M23" s="8" t="s">
        <v>181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  <c r="U23" s="79">
        <v>0</v>
      </c>
      <c r="V23" s="79">
        <v>0</v>
      </c>
      <c r="W23" s="79">
        <v>0</v>
      </c>
    </row>
    <row r="24" spans="2:25">
      <c r="B24" s="136" t="s">
        <v>78</v>
      </c>
      <c r="C24" s="137"/>
      <c r="D24" s="137"/>
      <c r="E24" s="138"/>
      <c r="G24" s="33"/>
      <c r="H24" s="33"/>
      <c r="I24" s="33"/>
      <c r="J24" s="33"/>
      <c r="K24" s="33"/>
      <c r="M24" s="8" t="s">
        <v>11</v>
      </c>
      <c r="N24" s="79">
        <f>SUM(N22:N23)</f>
        <v>0</v>
      </c>
      <c r="O24" s="49">
        <f t="shared" ref="O24:W24" si="17">SUM(O22:O23)</f>
        <v>0</v>
      </c>
      <c r="P24" s="49">
        <f t="shared" si="17"/>
        <v>0</v>
      </c>
      <c r="Q24" s="49">
        <f t="shared" si="17"/>
        <v>0</v>
      </c>
      <c r="R24" s="49">
        <f t="shared" si="17"/>
        <v>0</v>
      </c>
      <c r="S24" s="49">
        <f t="shared" si="17"/>
        <v>0</v>
      </c>
      <c r="T24" s="49">
        <f t="shared" si="17"/>
        <v>0</v>
      </c>
      <c r="U24" s="49">
        <f t="shared" si="17"/>
        <v>0</v>
      </c>
      <c r="V24" s="49">
        <f t="shared" si="17"/>
        <v>0</v>
      </c>
      <c r="W24" s="49">
        <f t="shared" si="17"/>
        <v>0</v>
      </c>
    </row>
    <row r="25" spans="2:25">
      <c r="B25" s="23" t="str">
        <f t="shared" ref="B25:D28" si="18">+E5</f>
        <v xml:space="preserve">Fornecedores </v>
      </c>
      <c r="C25" s="76">
        <f t="shared" si="18"/>
        <v>0</v>
      </c>
      <c r="D25" s="76">
        <f t="shared" si="18"/>
        <v>6750</v>
      </c>
      <c r="E25" s="76">
        <f>D25-C25</f>
        <v>6750</v>
      </c>
      <c r="G25" s="33"/>
      <c r="H25" s="33"/>
      <c r="I25" s="33"/>
      <c r="J25" s="33"/>
      <c r="K25" s="33"/>
      <c r="M25" s="8" t="s">
        <v>182</v>
      </c>
      <c r="N25" s="16">
        <v>0.16983963815789499</v>
      </c>
      <c r="O25" s="16">
        <v>0.16983963815789499</v>
      </c>
      <c r="P25" s="16">
        <v>0.16983963815789499</v>
      </c>
      <c r="Q25" s="16">
        <v>0.16983963815789499</v>
      </c>
      <c r="R25" s="16">
        <v>0.16983963815789499</v>
      </c>
      <c r="S25" s="16">
        <v>0.16983963815789499</v>
      </c>
      <c r="T25" s="16">
        <v>0.16983963815789499</v>
      </c>
      <c r="U25" s="16">
        <v>0.16983963815789499</v>
      </c>
      <c r="V25" s="16">
        <v>0.16983963815789499</v>
      </c>
      <c r="W25" s="16">
        <v>0.16983963815789499</v>
      </c>
    </row>
    <row r="26" spans="2:25">
      <c r="B26" s="23" t="str">
        <f t="shared" si="18"/>
        <v xml:space="preserve">Salários </v>
      </c>
      <c r="C26" s="76">
        <f t="shared" si="18"/>
        <v>45534.54</v>
      </c>
      <c r="D26" s="76">
        <f t="shared" si="18"/>
        <v>36288.519999999997</v>
      </c>
      <c r="E26" s="76">
        <f>D26-C26</f>
        <v>-9246.0200000000041</v>
      </c>
      <c r="G26" s="33"/>
      <c r="H26" s="33"/>
      <c r="I26" s="33"/>
      <c r="J26" s="33"/>
      <c r="K26" s="33"/>
      <c r="M26" s="19" t="s">
        <v>183</v>
      </c>
      <c r="N26" s="81">
        <f t="shared" ref="N26:W26" si="19">(+N24*N25)*-1</f>
        <v>0</v>
      </c>
      <c r="O26" s="78">
        <f t="shared" si="19"/>
        <v>0</v>
      </c>
      <c r="P26" s="78">
        <f t="shared" si="19"/>
        <v>0</v>
      </c>
      <c r="Q26" s="78">
        <f t="shared" si="19"/>
        <v>0</v>
      </c>
      <c r="R26" s="78">
        <f t="shared" si="19"/>
        <v>0</v>
      </c>
      <c r="S26" s="78">
        <f t="shared" si="19"/>
        <v>0</v>
      </c>
      <c r="T26" s="78">
        <f t="shared" si="19"/>
        <v>0</v>
      </c>
      <c r="U26" s="78">
        <f t="shared" si="19"/>
        <v>0</v>
      </c>
      <c r="V26" s="78">
        <f t="shared" si="19"/>
        <v>0</v>
      </c>
      <c r="W26" s="78">
        <f t="shared" si="19"/>
        <v>0</v>
      </c>
    </row>
    <row r="27" spans="2:25">
      <c r="B27" s="23" t="str">
        <f t="shared" si="18"/>
        <v xml:space="preserve">Impostos e Contribuições </v>
      </c>
      <c r="C27" s="76">
        <f t="shared" si="18"/>
        <v>3146.76</v>
      </c>
      <c r="D27" s="76">
        <f t="shared" si="18"/>
        <v>224.77</v>
      </c>
      <c r="E27" s="76">
        <f>D27-C27</f>
        <v>-2921.9900000000002</v>
      </c>
      <c r="G27" s="38"/>
      <c r="H27" s="38"/>
      <c r="I27" s="38"/>
      <c r="J27" s="38"/>
      <c r="K27" s="38"/>
      <c r="N27" s="12">
        <f t="shared" ref="N27:W27" si="20">+N26-N37</f>
        <v>35000</v>
      </c>
      <c r="O27" s="13">
        <f t="shared" si="20"/>
        <v>35350</v>
      </c>
      <c r="P27" s="13">
        <f t="shared" si="20"/>
        <v>35703.5</v>
      </c>
      <c r="Q27" s="13">
        <f t="shared" si="20"/>
        <v>36060.535000000003</v>
      </c>
      <c r="R27" s="13">
        <f t="shared" si="20"/>
        <v>36421.140350000001</v>
      </c>
      <c r="S27" s="13">
        <f t="shared" si="20"/>
        <v>36785.351753499999</v>
      </c>
      <c r="T27" s="13">
        <f t="shared" si="20"/>
        <v>37153.205271034996</v>
      </c>
      <c r="U27" s="13">
        <f t="shared" si="20"/>
        <v>37524.737323745343</v>
      </c>
      <c r="V27" s="13">
        <f t="shared" si="20"/>
        <v>37899.9846969828</v>
      </c>
      <c r="W27" s="13">
        <f t="shared" si="20"/>
        <v>38278.984543952625</v>
      </c>
      <c r="X27" s="7">
        <v>10</v>
      </c>
    </row>
    <row r="28" spans="2:25">
      <c r="B28" s="7" t="str">
        <f t="shared" si="18"/>
        <v>Outros</v>
      </c>
      <c r="C28" s="103">
        <f t="shared" si="18"/>
        <v>15295.54</v>
      </c>
      <c r="D28" s="103">
        <f t="shared" si="18"/>
        <v>15004.36</v>
      </c>
      <c r="E28" s="76">
        <f>D28-C28</f>
        <v>-291.18000000000029</v>
      </c>
      <c r="G28" s="33"/>
      <c r="H28" s="33"/>
      <c r="I28" s="33"/>
      <c r="J28" s="33"/>
      <c r="K28" s="33"/>
    </row>
    <row r="29" spans="2:25">
      <c r="B29" s="7" t="s">
        <v>344</v>
      </c>
      <c r="C29" s="103">
        <f>+F12</f>
        <v>1668772.48</v>
      </c>
      <c r="D29" s="103">
        <f>+G12</f>
        <v>733450.49</v>
      </c>
      <c r="E29" s="76">
        <f>D29-C29</f>
        <v>-935321.99</v>
      </c>
      <c r="G29" s="33"/>
      <c r="H29" s="33"/>
      <c r="I29" s="33"/>
      <c r="J29" s="33"/>
      <c r="K29" s="33"/>
      <c r="M29" s="6" t="s">
        <v>53</v>
      </c>
      <c r="N29" s="18">
        <f>+N9</f>
        <v>2017</v>
      </c>
      <c r="O29" s="18">
        <f t="shared" ref="O29:W29" si="21">+O9</f>
        <v>2018</v>
      </c>
      <c r="P29" s="18">
        <f t="shared" si="21"/>
        <v>2019</v>
      </c>
      <c r="Q29" s="18">
        <f t="shared" si="21"/>
        <v>2020</v>
      </c>
      <c r="R29" s="18">
        <f t="shared" si="21"/>
        <v>2021</v>
      </c>
      <c r="S29" s="18">
        <f t="shared" si="21"/>
        <v>2022</v>
      </c>
      <c r="T29" s="18">
        <f t="shared" si="21"/>
        <v>2023</v>
      </c>
      <c r="U29" s="18">
        <f t="shared" si="21"/>
        <v>2024</v>
      </c>
      <c r="V29" s="18">
        <f t="shared" si="21"/>
        <v>2025</v>
      </c>
      <c r="W29" s="18">
        <f t="shared" si="21"/>
        <v>2026</v>
      </c>
    </row>
    <row r="30" spans="2:25">
      <c r="B30" s="8" t="str">
        <f>B22</f>
        <v>Total</v>
      </c>
      <c r="C30" s="49"/>
      <c r="D30" s="49"/>
      <c r="E30" s="49">
        <f>SUM(E25:E29)</f>
        <v>-941031.18</v>
      </c>
      <c r="G30" s="33"/>
      <c r="H30" s="33"/>
      <c r="I30" s="33"/>
      <c r="J30" s="33"/>
      <c r="K30" s="33"/>
      <c r="M30" s="6" t="str">
        <f>+M67</f>
        <v>Receita Operacional Bruta</v>
      </c>
      <c r="N30" s="79">
        <f>+N7</f>
        <v>1489960</v>
      </c>
      <c r="O30" s="79">
        <f t="shared" ref="O30:W30" si="22">+O7</f>
        <v>1517618.324</v>
      </c>
      <c r="P30" s="79">
        <f t="shared" si="22"/>
        <v>1545809.6815924002</v>
      </c>
      <c r="Q30" s="79">
        <f t="shared" si="22"/>
        <v>1574544.5577652075</v>
      </c>
      <c r="R30" s="79">
        <f t="shared" si="22"/>
        <v>1603833.6459648162</v>
      </c>
      <c r="S30" s="79">
        <f t="shared" si="22"/>
        <v>1633687.8522631221</v>
      </c>
      <c r="T30" s="79">
        <f t="shared" si="22"/>
        <v>1664118.2996081687</v>
      </c>
      <c r="U30" s="79">
        <f t="shared" si="22"/>
        <v>1695136.3321599956</v>
      </c>
      <c r="V30" s="79">
        <f t="shared" si="22"/>
        <v>1726753.5197134116</v>
      </c>
      <c r="W30" s="79">
        <f t="shared" si="22"/>
        <v>1758981.6622094207</v>
      </c>
    </row>
    <row r="31" spans="2:25">
      <c r="G31" s="33"/>
      <c r="H31" s="33"/>
      <c r="I31" s="33"/>
      <c r="J31" s="33"/>
      <c r="K31" s="33"/>
      <c r="M31" s="6" t="str">
        <f>+M68</f>
        <v>(-) Impostos sobre vendas</v>
      </c>
      <c r="N31" s="79">
        <f>+N30*0.03*-1</f>
        <v>-44698.799999999996</v>
      </c>
      <c r="O31" s="79">
        <f t="shared" ref="O31:W31" si="23">+O30*0.03*-1</f>
        <v>-45528.549719999995</v>
      </c>
      <c r="P31" s="79">
        <f t="shared" si="23"/>
        <v>-46374.290447772</v>
      </c>
      <c r="Q31" s="79">
        <f t="shared" si="23"/>
        <v>-47236.336732956224</v>
      </c>
      <c r="R31" s="79">
        <f t="shared" si="23"/>
        <v>-48115.009378944487</v>
      </c>
      <c r="S31" s="79">
        <f t="shared" si="23"/>
        <v>-49010.63556789366</v>
      </c>
      <c r="T31" s="79">
        <f t="shared" si="23"/>
        <v>-49923.548988245057</v>
      </c>
      <c r="U31" s="79">
        <f t="shared" si="23"/>
        <v>-50854.089964799867</v>
      </c>
      <c r="V31" s="79">
        <f t="shared" si="23"/>
        <v>-51802.605591402345</v>
      </c>
      <c r="W31" s="79">
        <f t="shared" si="23"/>
        <v>-52769.449866282615</v>
      </c>
    </row>
    <row r="32" spans="2:25">
      <c r="C32" s="7">
        <f>+C18</f>
        <v>2017</v>
      </c>
      <c r="D32" s="7">
        <f>+D18</f>
        <v>2018</v>
      </c>
      <c r="G32" s="33"/>
      <c r="H32" s="33"/>
      <c r="I32" s="33"/>
      <c r="J32" s="33"/>
      <c r="K32" s="33"/>
      <c r="M32" s="6" t="s">
        <v>59</v>
      </c>
      <c r="N32" s="79">
        <f>+N30+N31</f>
        <v>1445261.2</v>
      </c>
      <c r="O32" s="79">
        <f>+O30+O31</f>
        <v>1472089.77428</v>
      </c>
      <c r="P32" s="79">
        <f t="shared" ref="P32:W32" si="24">+P30+P31</f>
        <v>1499435.3911446282</v>
      </c>
      <c r="Q32" s="79">
        <f t="shared" si="24"/>
        <v>1527308.2210322514</v>
      </c>
      <c r="R32" s="79">
        <f t="shared" si="24"/>
        <v>1555718.6365858717</v>
      </c>
      <c r="S32" s="79">
        <f t="shared" si="24"/>
        <v>1584677.2166952284</v>
      </c>
      <c r="T32" s="79">
        <f t="shared" si="24"/>
        <v>1614194.7506199237</v>
      </c>
      <c r="U32" s="79">
        <f t="shared" si="24"/>
        <v>1644282.2421951958</v>
      </c>
      <c r="V32" s="79">
        <f t="shared" si="24"/>
        <v>1674950.9141220092</v>
      </c>
      <c r="W32" s="79">
        <f t="shared" si="24"/>
        <v>1706212.2123431382</v>
      </c>
    </row>
    <row r="33" spans="2:28">
      <c r="B33" s="19" t="s">
        <v>69</v>
      </c>
      <c r="C33" s="8"/>
      <c r="D33" s="105">
        <v>418999.21</v>
      </c>
      <c r="E33" s="43" t="s">
        <v>79</v>
      </c>
      <c r="G33" s="33"/>
      <c r="H33" s="33"/>
      <c r="I33" s="33"/>
      <c r="J33" s="33"/>
      <c r="K33" s="33"/>
      <c r="M33" s="6" t="str">
        <f>+M70</f>
        <v>(-) Custo da Mercadoria Vendida</v>
      </c>
      <c r="N33" s="79">
        <f t="shared" ref="N33:W33" si="25">+N19</f>
        <v>-850035.28235294111</v>
      </c>
      <c r="O33" s="79">
        <f t="shared" si="25"/>
        <v>-872290.61333058821</v>
      </c>
      <c r="P33" s="79">
        <f t="shared" si="25"/>
        <v>-887719.92013773299</v>
      </c>
      <c r="Q33" s="79">
        <f t="shared" si="25"/>
        <v>-903134.66070790542</v>
      </c>
      <c r="R33" s="79">
        <f t="shared" si="25"/>
        <v>-918965.47169220983</v>
      </c>
      <c r="S33" s="79">
        <f t="shared" si="25"/>
        <v>-935159.27280810149</v>
      </c>
      <c r="T33" s="79">
        <f t="shared" si="25"/>
        <v>-951469.05347972643</v>
      </c>
      <c r="U33" s="79">
        <f t="shared" si="25"/>
        <v>-968152.26966491411</v>
      </c>
      <c r="V33" s="79">
        <f t="shared" si="25"/>
        <v>-985738.26242697355</v>
      </c>
      <c r="W33" s="79">
        <f t="shared" si="25"/>
        <v>-1003266.1986092622</v>
      </c>
    </row>
    <row r="34" spans="2:28">
      <c r="B34" s="8" t="s">
        <v>70</v>
      </c>
      <c r="C34" s="8"/>
      <c r="D34" s="106">
        <f>O75</f>
        <v>87335.463749999995</v>
      </c>
      <c r="E34" s="77"/>
      <c r="F34" s="17"/>
      <c r="G34" s="33"/>
      <c r="H34" s="33"/>
      <c r="I34" s="33"/>
      <c r="J34" s="33"/>
      <c r="K34" s="33"/>
      <c r="M34" s="6" t="s">
        <v>57</v>
      </c>
      <c r="N34" s="79">
        <f>SUM(N32:N33)</f>
        <v>595225.91764705884</v>
      </c>
      <c r="O34" s="79">
        <f>SUM(O32:O33)</f>
        <v>599799.1609494118</v>
      </c>
      <c r="P34" s="79">
        <f t="shared" ref="P34:W34" si="26">SUM(P32:P33)</f>
        <v>611715.47100689518</v>
      </c>
      <c r="Q34" s="79">
        <f t="shared" si="26"/>
        <v>624173.56032434595</v>
      </c>
      <c r="R34" s="79">
        <f t="shared" si="26"/>
        <v>636753.16489366186</v>
      </c>
      <c r="S34" s="79">
        <f t="shared" si="26"/>
        <v>649517.94388712686</v>
      </c>
      <c r="T34" s="79">
        <f t="shared" si="26"/>
        <v>662725.69714019727</v>
      </c>
      <c r="U34" s="79">
        <f t="shared" si="26"/>
        <v>676129.97253028164</v>
      </c>
      <c r="V34" s="79">
        <f t="shared" si="26"/>
        <v>689212.65169503563</v>
      </c>
      <c r="W34" s="79">
        <f t="shared" si="26"/>
        <v>702946.01373387594</v>
      </c>
    </row>
    <row r="35" spans="2:28">
      <c r="B35" s="8" t="str">
        <f>B19</f>
        <v xml:space="preserve">Contas a Receber </v>
      </c>
      <c r="C35" s="104"/>
      <c r="D35" s="106">
        <f>+E19</f>
        <v>1233096.8399999999</v>
      </c>
      <c r="E35" s="77"/>
      <c r="L35" s="9"/>
      <c r="M35" s="6" t="s">
        <v>54</v>
      </c>
      <c r="N35" s="79">
        <f>+N32*0.055*-1</f>
        <v>-79489.365999999995</v>
      </c>
      <c r="O35" s="79">
        <f t="shared" ref="O35:W35" si="27">+O32*0.055*-1</f>
        <v>-80964.937585399995</v>
      </c>
      <c r="P35" s="79">
        <f t="shared" si="27"/>
        <v>-82468.946512954557</v>
      </c>
      <c r="Q35" s="79">
        <f t="shared" si="27"/>
        <v>-84001.952156773827</v>
      </c>
      <c r="R35" s="79">
        <f t="shared" si="27"/>
        <v>-85564.525012222948</v>
      </c>
      <c r="S35" s="79">
        <f t="shared" si="27"/>
        <v>-87157.246918237564</v>
      </c>
      <c r="T35" s="79">
        <f t="shared" si="27"/>
        <v>-88780.7112840958</v>
      </c>
      <c r="U35" s="79">
        <f t="shared" si="27"/>
        <v>-90435.523320735767</v>
      </c>
      <c r="V35" s="79">
        <f t="shared" si="27"/>
        <v>-92122.300276710506</v>
      </c>
      <c r="W35" s="79">
        <f t="shared" si="27"/>
        <v>-93841.671678872604</v>
      </c>
    </row>
    <row r="36" spans="2:28">
      <c r="B36" s="8" t="str">
        <f>B25</f>
        <v xml:space="preserve">Fornecedores </v>
      </c>
      <c r="C36" s="8"/>
      <c r="D36" s="106">
        <f>+G5</f>
        <v>6750</v>
      </c>
      <c r="E36" s="77"/>
      <c r="L36" s="10"/>
      <c r="M36" s="6" t="s">
        <v>55</v>
      </c>
      <c r="N36" s="79">
        <f>+D21/8*-1</f>
        <v>-87335.463749999995</v>
      </c>
      <c r="O36" s="79">
        <f>+N36</f>
        <v>-87335.463749999995</v>
      </c>
      <c r="P36" s="79">
        <f t="shared" ref="P36:W36" si="28">+O36</f>
        <v>-87335.463749999995</v>
      </c>
      <c r="Q36" s="79">
        <f t="shared" si="28"/>
        <v>-87335.463749999995</v>
      </c>
      <c r="R36" s="79">
        <f t="shared" si="28"/>
        <v>-87335.463749999995</v>
      </c>
      <c r="S36" s="79">
        <f t="shared" si="28"/>
        <v>-87335.463749999995</v>
      </c>
      <c r="T36" s="79">
        <f t="shared" si="28"/>
        <v>-87335.463749999995</v>
      </c>
      <c r="U36" s="79">
        <f t="shared" si="28"/>
        <v>-87335.463749999995</v>
      </c>
      <c r="V36" s="79">
        <f t="shared" si="28"/>
        <v>-87335.463749999995</v>
      </c>
      <c r="W36" s="79">
        <f t="shared" si="28"/>
        <v>-87335.463749999995</v>
      </c>
    </row>
    <row r="37" spans="2:28">
      <c r="B37" s="8" t="str">
        <f>B26</f>
        <v xml:space="preserve">Salários </v>
      </c>
      <c r="C37" s="104"/>
      <c r="D37" s="106">
        <f>+E26</f>
        <v>-9246.0200000000041</v>
      </c>
      <c r="E37" s="77"/>
      <c r="G37" s="98"/>
      <c r="H37" s="98"/>
      <c r="I37" s="98"/>
      <c r="J37" s="98"/>
      <c r="K37" s="98"/>
      <c r="L37" s="10"/>
      <c r="M37" s="6" t="s">
        <v>56</v>
      </c>
      <c r="N37" s="79">
        <v>-35000</v>
      </c>
      <c r="O37" s="79">
        <f>+N37*1.01</f>
        <v>-35350</v>
      </c>
      <c r="P37" s="79">
        <f t="shared" ref="P37:W37" si="29">+O37*1.01</f>
        <v>-35703.5</v>
      </c>
      <c r="Q37" s="79">
        <f t="shared" si="29"/>
        <v>-36060.535000000003</v>
      </c>
      <c r="R37" s="79">
        <f t="shared" si="29"/>
        <v>-36421.140350000001</v>
      </c>
      <c r="S37" s="79">
        <f t="shared" si="29"/>
        <v>-36785.351753499999</v>
      </c>
      <c r="T37" s="79">
        <f t="shared" si="29"/>
        <v>-37153.205271034996</v>
      </c>
      <c r="U37" s="79">
        <f t="shared" si="29"/>
        <v>-37524.737323745343</v>
      </c>
      <c r="V37" s="79">
        <f t="shared" si="29"/>
        <v>-37899.9846969828</v>
      </c>
      <c r="W37" s="79">
        <f t="shared" si="29"/>
        <v>-38278.984543952625</v>
      </c>
    </row>
    <row r="38" spans="2:28">
      <c r="B38" s="8" t="str">
        <f>B27</f>
        <v xml:space="preserve">Impostos e Contribuições </v>
      </c>
      <c r="C38" s="104"/>
      <c r="D38" s="106">
        <f>+E27</f>
        <v>-2921.9900000000002</v>
      </c>
      <c r="E38" s="75"/>
      <c r="L38" s="10"/>
      <c r="M38" s="6" t="s">
        <v>58</v>
      </c>
      <c r="N38" s="79">
        <f>+N34+N35+N36+N37</f>
        <v>393401.08789705887</v>
      </c>
      <c r="O38" s="79">
        <f>SUM(O34:O37)</f>
        <v>396148.7596140118</v>
      </c>
      <c r="P38" s="79">
        <f t="shared" ref="P38:V38" si="30">+Q34+Q35+Q36+Q37</f>
        <v>416775.60941757215</v>
      </c>
      <c r="Q38" s="79">
        <f t="shared" si="30"/>
        <v>427432.03578143893</v>
      </c>
      <c r="R38" s="79">
        <f t="shared" si="30"/>
        <v>438239.88146538934</v>
      </c>
      <c r="S38" s="79">
        <f t="shared" si="30"/>
        <v>449456.31683506654</v>
      </c>
      <c r="T38" s="79">
        <f t="shared" si="30"/>
        <v>460834.24813580053</v>
      </c>
      <c r="U38" s="79">
        <f t="shared" si="30"/>
        <v>471854.90297134232</v>
      </c>
      <c r="V38" s="79">
        <f t="shared" si="30"/>
        <v>483489.89376105077</v>
      </c>
      <c r="W38" s="79">
        <f>+W34+W35+W36+W37</f>
        <v>483489.89376105077</v>
      </c>
    </row>
    <row r="39" spans="2:28">
      <c r="B39" s="19" t="s">
        <v>71</v>
      </c>
      <c r="C39" s="8"/>
      <c r="D39" s="105">
        <f>SUM(D33:D38)</f>
        <v>1734013.5037499999</v>
      </c>
      <c r="E39" s="75"/>
      <c r="L39" s="10"/>
      <c r="M39" s="6" t="s">
        <v>60</v>
      </c>
      <c r="N39" s="79">
        <v>-140000</v>
      </c>
      <c r="O39" s="79">
        <f t="shared" ref="O39:W39" si="31">O38*$D$62*-1</f>
        <v>-134690.57826876402</v>
      </c>
      <c r="P39" s="79">
        <f t="shared" si="31"/>
        <v>-141703.70720197455</v>
      </c>
      <c r="Q39" s="79">
        <f t="shared" si="31"/>
        <v>-145326.89216568923</v>
      </c>
      <c r="R39" s="79">
        <f t="shared" si="31"/>
        <v>-149001.55969823239</v>
      </c>
      <c r="S39" s="79">
        <f t="shared" si="31"/>
        <v>-152815.14772392262</v>
      </c>
      <c r="T39" s="79">
        <f t="shared" si="31"/>
        <v>-156683.6443661722</v>
      </c>
      <c r="U39" s="79">
        <f t="shared" si="31"/>
        <v>-160430.66701025641</v>
      </c>
      <c r="V39" s="79">
        <f t="shared" si="31"/>
        <v>-164386.56387875727</v>
      </c>
      <c r="W39" s="79">
        <f t="shared" si="31"/>
        <v>-164386.56387875727</v>
      </c>
    </row>
    <row r="40" spans="2:28">
      <c r="B40" s="8" t="str">
        <f>B21</f>
        <v xml:space="preserve">Ativo Fixo </v>
      </c>
      <c r="C40" s="8"/>
      <c r="D40" s="107">
        <f>+E21</f>
        <v>-95776.859999999986</v>
      </c>
      <c r="E40" s="75"/>
      <c r="L40" s="10"/>
      <c r="M40" s="96" t="s">
        <v>61</v>
      </c>
      <c r="N40" s="100">
        <f>+N38+N39</f>
        <v>253401.08789705887</v>
      </c>
      <c r="O40" s="100">
        <f>+O38+O39</f>
        <v>261458.18134524778</v>
      </c>
      <c r="P40" s="100">
        <f t="shared" ref="P40:W40" si="32">+P38+P39</f>
        <v>275071.90221559757</v>
      </c>
      <c r="Q40" s="100">
        <f t="shared" si="32"/>
        <v>282105.14361574966</v>
      </c>
      <c r="R40" s="100">
        <f t="shared" si="32"/>
        <v>289238.32176715694</v>
      </c>
      <c r="S40" s="100">
        <f t="shared" si="32"/>
        <v>296641.16911114391</v>
      </c>
      <c r="T40" s="100">
        <f t="shared" si="32"/>
        <v>304150.60376962833</v>
      </c>
      <c r="U40" s="100">
        <f t="shared" si="32"/>
        <v>311424.23596108588</v>
      </c>
      <c r="V40" s="100">
        <f t="shared" si="32"/>
        <v>319103.32988229347</v>
      </c>
      <c r="W40" s="100">
        <f t="shared" si="32"/>
        <v>319103.32988229347</v>
      </c>
    </row>
    <row r="41" spans="2:28">
      <c r="B41" s="19" t="s">
        <v>72</v>
      </c>
      <c r="C41" s="8"/>
      <c r="D41" s="105">
        <f>+D40</f>
        <v>-95776.859999999986</v>
      </c>
      <c r="E41" s="75"/>
      <c r="F41" s="17"/>
      <c r="L41" s="10"/>
      <c r="M41" s="8" t="s">
        <v>211</v>
      </c>
      <c r="N41" s="130">
        <f>N40/N32</f>
        <v>0.1753323813695814</v>
      </c>
      <c r="O41" s="130">
        <f>O40/O32</f>
        <v>0.17761021502450633</v>
      </c>
      <c r="P41" s="130">
        <f t="shared" ref="P41:W41" si="33">P40/P32</f>
        <v>0.18345031992716615</v>
      </c>
      <c r="Q41" s="130">
        <f t="shared" si="33"/>
        <v>0.18470740858389748</v>
      </c>
      <c r="R41" s="130">
        <f t="shared" si="33"/>
        <v>0.18591942975106973</v>
      </c>
      <c r="S41" s="130">
        <f t="shared" si="33"/>
        <v>0.18719343345503223</v>
      </c>
      <c r="T41" s="130">
        <f t="shared" si="33"/>
        <v>0.18842249589327481</v>
      </c>
      <c r="U41" s="130">
        <f t="shared" si="33"/>
        <v>0.18939828453375473</v>
      </c>
      <c r="V41" s="130">
        <f t="shared" si="33"/>
        <v>0.19051503371939943</v>
      </c>
      <c r="W41" s="130">
        <f t="shared" si="33"/>
        <v>0.18702440855470695</v>
      </c>
    </row>
    <row r="42" spans="2:28">
      <c r="B42" s="8" t="s">
        <v>345</v>
      </c>
      <c r="C42" s="8"/>
      <c r="D42" s="106">
        <f>+E29</f>
        <v>-935321.99</v>
      </c>
      <c r="E42" s="75"/>
      <c r="G42" s="13"/>
      <c r="H42" s="13"/>
      <c r="I42" s="13"/>
      <c r="J42" s="13"/>
      <c r="K42" s="13"/>
      <c r="L42" s="10"/>
      <c r="M42" s="11"/>
      <c r="O42" s="11"/>
      <c r="P42" s="11"/>
      <c r="Q42" s="11"/>
      <c r="R42" s="11"/>
      <c r="S42" s="11"/>
      <c r="T42" s="11"/>
      <c r="U42" s="11"/>
      <c r="V42" s="11"/>
      <c r="W42" s="12">
        <f>+W40-W41</f>
        <v>319103.14285788493</v>
      </c>
    </row>
    <row r="43" spans="2:28">
      <c r="B43" s="19" t="s">
        <v>73</v>
      </c>
      <c r="C43" s="8"/>
      <c r="D43" s="105">
        <f>SUM(D42:D42)</f>
        <v>-935321.99</v>
      </c>
      <c r="E43" s="75"/>
      <c r="L43" s="10"/>
      <c r="M43" s="14" t="str">
        <f t="shared" ref="M43:W43" si="34">+M30</f>
        <v>Receita Operacional Bruta</v>
      </c>
      <c r="N43" s="79">
        <f t="shared" ref="N43:N49" si="35">+N30</f>
        <v>1489960</v>
      </c>
      <c r="O43" s="80">
        <f t="shared" si="34"/>
        <v>1517618.324</v>
      </c>
      <c r="P43" s="80">
        <f t="shared" si="34"/>
        <v>1545809.6815924002</v>
      </c>
      <c r="Q43" s="80">
        <f t="shared" si="34"/>
        <v>1574544.5577652075</v>
      </c>
      <c r="R43" s="80">
        <f t="shared" si="34"/>
        <v>1603833.6459648162</v>
      </c>
      <c r="S43" s="80">
        <f t="shared" si="34"/>
        <v>1633687.8522631221</v>
      </c>
      <c r="T43" s="80">
        <f t="shared" si="34"/>
        <v>1664118.2996081687</v>
      </c>
      <c r="U43" s="80">
        <f t="shared" si="34"/>
        <v>1695136.3321599956</v>
      </c>
      <c r="V43" s="80">
        <f t="shared" si="34"/>
        <v>1726753.5197134116</v>
      </c>
      <c r="W43" s="80">
        <f t="shared" si="34"/>
        <v>1758981.6622094207</v>
      </c>
    </row>
    <row r="44" spans="2:28">
      <c r="B44" s="8" t="s">
        <v>74</v>
      </c>
      <c r="C44" s="8"/>
      <c r="D44" s="108">
        <f>+D43+D41+D39</f>
        <v>702914.65374999994</v>
      </c>
      <c r="L44" s="10"/>
      <c r="M44" s="14" t="str">
        <f>+M68</f>
        <v>(-) Impostos sobre vendas</v>
      </c>
      <c r="N44" s="79">
        <f t="shared" si="35"/>
        <v>-44698.799999999996</v>
      </c>
      <c r="O44" s="80">
        <f t="shared" ref="O44:W44" si="36">+O31</f>
        <v>-45528.549719999995</v>
      </c>
      <c r="P44" s="80">
        <f t="shared" si="36"/>
        <v>-46374.290447772</v>
      </c>
      <c r="Q44" s="80">
        <f t="shared" si="36"/>
        <v>-47236.336732956224</v>
      </c>
      <c r="R44" s="80">
        <f t="shared" si="36"/>
        <v>-48115.009378944487</v>
      </c>
      <c r="S44" s="80">
        <f t="shared" si="36"/>
        <v>-49010.63556789366</v>
      </c>
      <c r="T44" s="80">
        <f t="shared" si="36"/>
        <v>-49923.548988245057</v>
      </c>
      <c r="U44" s="80">
        <f t="shared" si="36"/>
        <v>-50854.089964799867</v>
      </c>
      <c r="V44" s="80">
        <f t="shared" si="36"/>
        <v>-51802.605591402345</v>
      </c>
      <c r="W44" s="80">
        <f t="shared" si="36"/>
        <v>-52769.449866282615</v>
      </c>
    </row>
    <row r="45" spans="2:28">
      <c r="B45" s="8" t="s">
        <v>75</v>
      </c>
      <c r="C45" s="8"/>
      <c r="D45" s="109">
        <f>C5</f>
        <v>112041.69</v>
      </c>
      <c r="E45" s="75"/>
      <c r="L45" s="10"/>
      <c r="M45" s="14" t="str">
        <f>+M69</f>
        <v>(=) Receita Operacional Líquida</v>
      </c>
      <c r="N45" s="80">
        <f>SUM(N43:N44)</f>
        <v>1445261.2</v>
      </c>
      <c r="O45" s="80">
        <f>SUM(O43:O44)</f>
        <v>1472089.77428</v>
      </c>
      <c r="P45" s="80">
        <f t="shared" ref="P45:W45" si="37">SUM(P43:P44)</f>
        <v>1499435.3911446282</v>
      </c>
      <c r="Q45" s="80">
        <f t="shared" si="37"/>
        <v>1527308.2210322514</v>
      </c>
      <c r="R45" s="80">
        <f t="shared" si="37"/>
        <v>1555718.6365858717</v>
      </c>
      <c r="S45" s="80">
        <f t="shared" si="37"/>
        <v>1584677.2166952284</v>
      </c>
      <c r="T45" s="80">
        <f t="shared" si="37"/>
        <v>1614194.7506199237</v>
      </c>
      <c r="U45" s="80">
        <f t="shared" si="37"/>
        <v>1644282.2421951958</v>
      </c>
      <c r="V45" s="80">
        <f t="shared" si="37"/>
        <v>1674950.9141220092</v>
      </c>
      <c r="W45" s="80">
        <f t="shared" si="37"/>
        <v>1706212.2123431382</v>
      </c>
    </row>
    <row r="46" spans="2:28">
      <c r="B46" s="19" t="s">
        <v>76</v>
      </c>
      <c r="C46" s="8"/>
      <c r="D46" s="105">
        <f>SUM(D44:D45)</f>
        <v>814956.34375</v>
      </c>
      <c r="E46" s="75">
        <f>+D46-D5</f>
        <v>503773.97375</v>
      </c>
      <c r="G46" s="13"/>
      <c r="H46" s="13"/>
      <c r="I46" s="13"/>
      <c r="J46" s="13"/>
      <c r="K46" s="13"/>
      <c r="L46" s="10"/>
      <c r="M46" s="6" t="str">
        <f t="shared" ref="M46:W46" si="38">+M33</f>
        <v>(-) Custo da Mercadoria Vendida</v>
      </c>
      <c r="N46" s="79">
        <f t="shared" si="35"/>
        <v>-850035.28235294111</v>
      </c>
      <c r="O46" s="79">
        <f t="shared" si="38"/>
        <v>-872290.61333058821</v>
      </c>
      <c r="P46" s="79">
        <f t="shared" si="38"/>
        <v>-887719.92013773299</v>
      </c>
      <c r="Q46" s="79">
        <f t="shared" si="38"/>
        <v>-903134.66070790542</v>
      </c>
      <c r="R46" s="79">
        <f t="shared" si="38"/>
        <v>-918965.47169220983</v>
      </c>
      <c r="S46" s="79">
        <f t="shared" si="38"/>
        <v>-935159.27280810149</v>
      </c>
      <c r="T46" s="79">
        <f t="shared" si="38"/>
        <v>-951469.05347972643</v>
      </c>
      <c r="U46" s="79">
        <f t="shared" si="38"/>
        <v>-968152.26966491411</v>
      </c>
      <c r="V46" s="79">
        <f t="shared" si="38"/>
        <v>-985738.26242697355</v>
      </c>
      <c r="W46" s="79">
        <f t="shared" si="38"/>
        <v>-1003266.1986092622</v>
      </c>
      <c r="AB46" s="13" t="e">
        <f>+#REF!+#REF!+#REF!</f>
        <v>#REF!</v>
      </c>
    </row>
    <row r="47" spans="2:28">
      <c r="B47" s="42"/>
      <c r="C47" s="42"/>
      <c r="D47" s="10"/>
      <c r="E47" s="75"/>
      <c r="L47" s="10"/>
      <c r="M47" s="6" t="str">
        <f>+M34</f>
        <v>(=) Lucro Bruto</v>
      </c>
      <c r="N47" s="79">
        <f>SUM(N45:N46)</f>
        <v>595225.91764705884</v>
      </c>
      <c r="O47" s="79">
        <f>SUM(O45:O46)</f>
        <v>599799.1609494118</v>
      </c>
      <c r="P47" s="79">
        <f t="shared" ref="P47:W47" si="39">SUM(P45:P46)</f>
        <v>611715.47100689518</v>
      </c>
      <c r="Q47" s="79">
        <f t="shared" si="39"/>
        <v>624173.56032434595</v>
      </c>
      <c r="R47" s="79">
        <f t="shared" si="39"/>
        <v>636753.16489366186</v>
      </c>
      <c r="S47" s="79">
        <f t="shared" si="39"/>
        <v>649517.94388712686</v>
      </c>
      <c r="T47" s="79">
        <f t="shared" si="39"/>
        <v>662725.69714019727</v>
      </c>
      <c r="U47" s="79">
        <f t="shared" si="39"/>
        <v>676129.97253028164</v>
      </c>
      <c r="V47" s="79">
        <f t="shared" si="39"/>
        <v>689212.65169503563</v>
      </c>
      <c r="W47" s="79">
        <f t="shared" si="39"/>
        <v>702946.01373387594</v>
      </c>
    </row>
    <row r="48" spans="2:28">
      <c r="B48" s="41" t="s">
        <v>80</v>
      </c>
      <c r="C48" s="41"/>
      <c r="D48" s="43">
        <f>+D32</f>
        <v>2018</v>
      </c>
      <c r="E48" s="75"/>
      <c r="L48" s="10"/>
      <c r="M48" s="14" t="str">
        <f>+M35</f>
        <v xml:space="preserve">( - ) Despesas Operacionais </v>
      </c>
      <c r="N48" s="79">
        <f t="shared" si="35"/>
        <v>-79489.365999999995</v>
      </c>
      <c r="O48" s="80">
        <f t="shared" ref="O48:W48" si="40">+O35</f>
        <v>-80964.937585399995</v>
      </c>
      <c r="P48" s="80">
        <f t="shared" si="40"/>
        <v>-82468.946512954557</v>
      </c>
      <c r="Q48" s="80">
        <f t="shared" si="40"/>
        <v>-84001.952156773827</v>
      </c>
      <c r="R48" s="80">
        <f t="shared" si="40"/>
        <v>-85564.525012222948</v>
      </c>
      <c r="S48" s="80">
        <f t="shared" si="40"/>
        <v>-87157.246918237564</v>
      </c>
      <c r="T48" s="80">
        <f t="shared" si="40"/>
        <v>-88780.7112840958</v>
      </c>
      <c r="U48" s="80">
        <f t="shared" si="40"/>
        <v>-90435.523320735767</v>
      </c>
      <c r="V48" s="80">
        <f t="shared" si="40"/>
        <v>-92122.300276710506</v>
      </c>
      <c r="W48" s="80">
        <f t="shared" si="40"/>
        <v>-93841.671678872604</v>
      </c>
    </row>
    <row r="49" spans="2:28">
      <c r="B49" s="20" t="str">
        <f>B35</f>
        <v xml:space="preserve">Contas a Receber </v>
      </c>
      <c r="C49" s="8"/>
      <c r="D49" s="109">
        <f>D35</f>
        <v>1233096.8399999999</v>
      </c>
      <c r="E49" s="75"/>
      <c r="L49" s="10"/>
      <c r="M49" s="14" t="str">
        <f>+M36</f>
        <v xml:space="preserve">( - ) Depreciação </v>
      </c>
      <c r="N49" s="79">
        <f t="shared" si="35"/>
        <v>-87335.463749999995</v>
      </c>
      <c r="O49" s="80">
        <f t="shared" ref="O49:W49" si="41">+O36</f>
        <v>-87335.463749999995</v>
      </c>
      <c r="P49" s="80">
        <f t="shared" si="41"/>
        <v>-87335.463749999995</v>
      </c>
      <c r="Q49" s="80">
        <f t="shared" si="41"/>
        <v>-87335.463749999995</v>
      </c>
      <c r="R49" s="80">
        <f t="shared" si="41"/>
        <v>-87335.463749999995</v>
      </c>
      <c r="S49" s="80">
        <f t="shared" si="41"/>
        <v>-87335.463749999995</v>
      </c>
      <c r="T49" s="80">
        <f t="shared" si="41"/>
        <v>-87335.463749999995</v>
      </c>
      <c r="U49" s="80">
        <f t="shared" si="41"/>
        <v>-87335.463749999995</v>
      </c>
      <c r="V49" s="80">
        <f t="shared" si="41"/>
        <v>-87335.463749999995</v>
      </c>
      <c r="W49" s="80">
        <f t="shared" si="41"/>
        <v>-87335.463749999995</v>
      </c>
    </row>
    <row r="50" spans="2:28">
      <c r="B50" s="20" t="str">
        <f>B36</f>
        <v xml:space="preserve">Fornecedores </v>
      </c>
      <c r="C50" s="8"/>
      <c r="D50" s="109">
        <f>D36</f>
        <v>6750</v>
      </c>
      <c r="E50" s="75"/>
      <c r="L50" s="10"/>
      <c r="M50" s="6" t="s">
        <v>25</v>
      </c>
      <c r="N50" s="81">
        <f>+N47+N48+N49</f>
        <v>428401.08789705887</v>
      </c>
      <c r="O50" s="81">
        <f>+O47+O48+O49</f>
        <v>431498.7596140118</v>
      </c>
      <c r="P50" s="81">
        <f t="shared" ref="P50:W50" si="42">+P47+P48+P49</f>
        <v>441911.06074394064</v>
      </c>
      <c r="Q50" s="81">
        <f t="shared" si="42"/>
        <v>452836.14441757218</v>
      </c>
      <c r="R50" s="81">
        <f t="shared" si="42"/>
        <v>463853.17613143893</v>
      </c>
      <c r="S50" s="81">
        <f t="shared" si="42"/>
        <v>475025.23321888933</v>
      </c>
      <c r="T50" s="81">
        <f t="shared" si="42"/>
        <v>486609.5221061015</v>
      </c>
      <c r="U50" s="81">
        <f t="shared" si="42"/>
        <v>498358.98545954586</v>
      </c>
      <c r="V50" s="81">
        <f t="shared" si="42"/>
        <v>509754.8876683251</v>
      </c>
      <c r="W50" s="81">
        <f t="shared" si="42"/>
        <v>521768.8783050034</v>
      </c>
    </row>
    <row r="51" spans="2:28">
      <c r="B51" s="20" t="str">
        <f>B37</f>
        <v xml:space="preserve">Salários </v>
      </c>
      <c r="C51" s="8"/>
      <c r="D51" s="109">
        <f>D37</f>
        <v>-9246.0200000000041</v>
      </c>
      <c r="L51" s="10"/>
      <c r="M51" s="14" t="s">
        <v>64</v>
      </c>
      <c r="N51" s="79">
        <f>+N37*-1</f>
        <v>35000</v>
      </c>
      <c r="O51" s="80">
        <f t="shared" ref="O51:W51" si="43">+O37*-1</f>
        <v>35350</v>
      </c>
      <c r="P51" s="80">
        <f t="shared" si="43"/>
        <v>35703.5</v>
      </c>
      <c r="Q51" s="80">
        <f t="shared" si="43"/>
        <v>36060.535000000003</v>
      </c>
      <c r="R51" s="80">
        <f t="shared" si="43"/>
        <v>36421.140350000001</v>
      </c>
      <c r="S51" s="80">
        <f t="shared" si="43"/>
        <v>36785.351753499999</v>
      </c>
      <c r="T51" s="80">
        <f t="shared" si="43"/>
        <v>37153.205271034996</v>
      </c>
      <c r="U51" s="80">
        <f t="shared" si="43"/>
        <v>37524.737323745343</v>
      </c>
      <c r="V51" s="80">
        <f t="shared" si="43"/>
        <v>37899.9846969828</v>
      </c>
      <c r="W51" s="80">
        <f t="shared" si="43"/>
        <v>38278.984543952625</v>
      </c>
    </row>
    <row r="52" spans="2:28">
      <c r="B52" s="20" t="str">
        <f>B38</f>
        <v xml:space="preserve">Impostos e Contribuições </v>
      </c>
      <c r="C52" s="8"/>
      <c r="D52" s="109">
        <f>D38</f>
        <v>-2921.9900000000002</v>
      </c>
      <c r="M52" s="6" t="s">
        <v>2</v>
      </c>
      <c r="N52" s="79">
        <f>+N36*-1</f>
        <v>87335.463749999995</v>
      </c>
      <c r="O52" s="79">
        <f t="shared" ref="O52:W52" si="44">+O49*-1</f>
        <v>87335.463749999995</v>
      </c>
      <c r="P52" s="79">
        <f t="shared" si="44"/>
        <v>87335.463749999995</v>
      </c>
      <c r="Q52" s="79">
        <f t="shared" si="44"/>
        <v>87335.463749999995</v>
      </c>
      <c r="R52" s="79">
        <f t="shared" si="44"/>
        <v>87335.463749999995</v>
      </c>
      <c r="S52" s="79">
        <f t="shared" si="44"/>
        <v>87335.463749999995</v>
      </c>
      <c r="T52" s="79">
        <f t="shared" si="44"/>
        <v>87335.463749999995</v>
      </c>
      <c r="U52" s="79">
        <f t="shared" si="44"/>
        <v>87335.463749999995</v>
      </c>
      <c r="V52" s="79">
        <f t="shared" si="44"/>
        <v>87335.463749999995</v>
      </c>
      <c r="W52" s="79">
        <f t="shared" si="44"/>
        <v>87335.463749999995</v>
      </c>
    </row>
    <row r="53" spans="2:28">
      <c r="B53" s="8" t="s">
        <v>20</v>
      </c>
      <c r="C53" s="8"/>
      <c r="D53" s="109">
        <f>SUM(D49:D52)</f>
        <v>1227678.8299999998</v>
      </c>
      <c r="M53" s="6" t="str">
        <f>+M89</f>
        <v>(=) EBITDA</v>
      </c>
      <c r="N53" s="81">
        <f>+N50+N52+N51</f>
        <v>550736.55164705892</v>
      </c>
      <c r="O53" s="81">
        <f>+O50+O52+O51</f>
        <v>554184.22336401185</v>
      </c>
      <c r="P53" s="81">
        <f t="shared" ref="P53:W53" si="45">+P50+P52+P51</f>
        <v>564950.02449394064</v>
      </c>
      <c r="Q53" s="81">
        <f t="shared" si="45"/>
        <v>576232.14316757221</v>
      </c>
      <c r="R53" s="81">
        <f t="shared" si="45"/>
        <v>587609.78023143893</v>
      </c>
      <c r="S53" s="81">
        <f t="shared" si="45"/>
        <v>599146.04872238939</v>
      </c>
      <c r="T53" s="81">
        <f t="shared" si="45"/>
        <v>611098.19112713647</v>
      </c>
      <c r="U53" s="81">
        <f t="shared" si="45"/>
        <v>623219.18653329124</v>
      </c>
      <c r="V53" s="81">
        <f t="shared" si="45"/>
        <v>634990.33611530787</v>
      </c>
      <c r="W53" s="81">
        <f t="shared" si="45"/>
        <v>647383.32659895602</v>
      </c>
    </row>
    <row r="54" spans="2:28">
      <c r="D54" s="108"/>
      <c r="M54" s="6" t="s">
        <v>65</v>
      </c>
      <c r="N54" s="16">
        <f>+N53/N45</f>
        <v>0.38106368014796144</v>
      </c>
      <c r="O54" s="16">
        <f t="shared" ref="O54:W54" si="46">+O53/O45</f>
        <v>0.37646088781172582</v>
      </c>
      <c r="P54" s="16">
        <f t="shared" si="46"/>
        <v>0.37677517006096084</v>
      </c>
      <c r="Q54" s="16">
        <f t="shared" si="46"/>
        <v>0.37728608753125031</v>
      </c>
      <c r="R54" s="16">
        <f t="shared" si="46"/>
        <v>0.37770954619466912</v>
      </c>
      <c r="S54" s="16">
        <f t="shared" si="46"/>
        <v>0.37808712235535319</v>
      </c>
      <c r="T54" s="16">
        <f t="shared" si="46"/>
        <v>0.3785777341256048</v>
      </c>
      <c r="U54" s="16">
        <f t="shared" si="46"/>
        <v>0.37902202586659556</v>
      </c>
      <c r="V54" s="16">
        <f t="shared" si="46"/>
        <v>0.37910981794243376</v>
      </c>
      <c r="W54" s="16">
        <f t="shared" si="46"/>
        <v>0.37942720249898204</v>
      </c>
    </row>
    <row r="55" spans="2:28">
      <c r="B55" s="8" t="str">
        <f>B39</f>
        <v>Caixa gerado pela operaçoes</v>
      </c>
      <c r="C55" s="8"/>
      <c r="D55" s="105">
        <f>D39</f>
        <v>1734013.5037499999</v>
      </c>
      <c r="M55" s="11"/>
      <c r="N55" s="12"/>
      <c r="O55" s="11"/>
      <c r="P55" s="11"/>
      <c r="Q55" s="11"/>
      <c r="R55" s="11"/>
      <c r="S55" s="11"/>
      <c r="T55" s="11"/>
      <c r="U55" s="11"/>
      <c r="V55" s="11"/>
      <c r="W55" s="11"/>
      <c r="Y55" s="15"/>
      <c r="Z55" s="15"/>
      <c r="AA55" s="15"/>
      <c r="AB55" s="15"/>
    </row>
    <row r="56" spans="2:28">
      <c r="B56" s="8" t="str">
        <f>B41</f>
        <v>Caixa gerado pelaas atividades de investimentos</v>
      </c>
      <c r="C56" s="8"/>
      <c r="D56" s="105">
        <f>D41</f>
        <v>-95776.859999999986</v>
      </c>
      <c r="M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2:28">
      <c r="B57" s="8" t="str">
        <f>B43</f>
        <v>Caixa gerado pelas atividades de financiamento</v>
      </c>
      <c r="C57" s="8"/>
      <c r="D57" s="105">
        <f>D43</f>
        <v>-935321.99</v>
      </c>
      <c r="M57" s="6" t="str">
        <f>+M53</f>
        <v>(=) EBITDA</v>
      </c>
      <c r="N57" s="79">
        <f>+N53</f>
        <v>550736.55164705892</v>
      </c>
      <c r="O57" s="79">
        <f>+O53</f>
        <v>554184.22336401185</v>
      </c>
      <c r="P57" s="79">
        <f t="shared" ref="P57:W57" si="47">+P53</f>
        <v>564950.02449394064</v>
      </c>
      <c r="Q57" s="79">
        <f t="shared" si="47"/>
        <v>576232.14316757221</v>
      </c>
      <c r="R57" s="79">
        <f t="shared" si="47"/>
        <v>587609.78023143893</v>
      </c>
      <c r="S57" s="79">
        <f t="shared" si="47"/>
        <v>599146.04872238939</v>
      </c>
      <c r="T57" s="79">
        <f t="shared" si="47"/>
        <v>611098.19112713647</v>
      </c>
      <c r="U57" s="79">
        <f t="shared" si="47"/>
        <v>623219.18653329124</v>
      </c>
      <c r="V57" s="79">
        <f t="shared" si="47"/>
        <v>634990.33611530787</v>
      </c>
      <c r="W57" s="79">
        <f t="shared" si="47"/>
        <v>647383.32659895602</v>
      </c>
    </row>
    <row r="58" spans="2:28">
      <c r="B58" s="8" t="str">
        <f>B44</f>
        <v>Total  do caixa gerado</v>
      </c>
      <c r="C58" s="8"/>
      <c r="D58" s="109">
        <f>SUM(D55:D57)</f>
        <v>702914.65374999982</v>
      </c>
      <c r="F58" s="17"/>
      <c r="M58" s="6" t="s">
        <v>31</v>
      </c>
      <c r="N58" s="79">
        <f>+N52*-1</f>
        <v>-87335.463749999995</v>
      </c>
      <c r="O58" s="79">
        <f>+O52*-1</f>
        <v>-87335.463749999995</v>
      </c>
      <c r="P58" s="79">
        <f t="shared" ref="P58:W58" si="48">+P52*-1</f>
        <v>-87335.463749999995</v>
      </c>
      <c r="Q58" s="79">
        <f t="shared" si="48"/>
        <v>-87335.463749999995</v>
      </c>
      <c r="R58" s="79">
        <f t="shared" si="48"/>
        <v>-87335.463749999995</v>
      </c>
      <c r="S58" s="79">
        <f t="shared" si="48"/>
        <v>-87335.463749999995</v>
      </c>
      <c r="T58" s="79">
        <f t="shared" si="48"/>
        <v>-87335.463749999995</v>
      </c>
      <c r="U58" s="79">
        <f t="shared" si="48"/>
        <v>-87335.463749999995</v>
      </c>
      <c r="V58" s="79">
        <f t="shared" si="48"/>
        <v>-87335.463749999995</v>
      </c>
      <c r="W58" s="79">
        <f t="shared" si="48"/>
        <v>-87335.463749999995</v>
      </c>
    </row>
    <row r="59" spans="2:28">
      <c r="B59" s="8" t="str">
        <f>B45</f>
        <v>Caixa no inicio do período</v>
      </c>
      <c r="C59" s="8"/>
      <c r="D59" s="105">
        <f>D45</f>
        <v>112041.69</v>
      </c>
      <c r="M59" s="6" t="s">
        <v>1</v>
      </c>
      <c r="N59" s="79">
        <f>+N51*-1</f>
        <v>-35000</v>
      </c>
      <c r="O59" s="79">
        <f t="shared" ref="O59:W59" si="49">+O51*-1</f>
        <v>-35350</v>
      </c>
      <c r="P59" s="79">
        <f t="shared" si="49"/>
        <v>-35703.5</v>
      </c>
      <c r="Q59" s="79">
        <f t="shared" si="49"/>
        <v>-36060.535000000003</v>
      </c>
      <c r="R59" s="79">
        <f t="shared" si="49"/>
        <v>-36421.140350000001</v>
      </c>
      <c r="S59" s="79">
        <f t="shared" si="49"/>
        <v>-36785.351753499999</v>
      </c>
      <c r="T59" s="79">
        <f t="shared" si="49"/>
        <v>-37153.205271034996</v>
      </c>
      <c r="U59" s="79">
        <f t="shared" si="49"/>
        <v>-37524.737323745343</v>
      </c>
      <c r="V59" s="79">
        <f t="shared" si="49"/>
        <v>-37899.9846969828</v>
      </c>
      <c r="W59" s="79">
        <f t="shared" si="49"/>
        <v>-38278.984543952625</v>
      </c>
    </row>
    <row r="60" spans="2:28">
      <c r="B60" s="8" t="str">
        <f>B46</f>
        <v>Caixa no fim do período</v>
      </c>
      <c r="C60" s="8"/>
      <c r="D60" s="105">
        <f>D46</f>
        <v>814956.34375</v>
      </c>
      <c r="M60" s="6" t="str">
        <f>+M50</f>
        <v>(=) EBIT</v>
      </c>
      <c r="N60" s="79">
        <f>SUM(N57:N59)</f>
        <v>428401.08789705893</v>
      </c>
      <c r="O60" s="79">
        <f>SUM(O57:O59)</f>
        <v>431498.75961401185</v>
      </c>
      <c r="P60" s="79">
        <f t="shared" ref="P60:W60" si="50">SUM(P57:P59)</f>
        <v>441911.06074394064</v>
      </c>
      <c r="Q60" s="79">
        <f t="shared" si="50"/>
        <v>452836.14441757218</v>
      </c>
      <c r="R60" s="79">
        <f t="shared" si="50"/>
        <v>463853.17613143893</v>
      </c>
      <c r="S60" s="79">
        <f t="shared" si="50"/>
        <v>475025.23321888939</v>
      </c>
      <c r="T60" s="79">
        <f t="shared" si="50"/>
        <v>486609.5221061015</v>
      </c>
      <c r="U60" s="79">
        <f t="shared" si="50"/>
        <v>498358.98545954592</v>
      </c>
      <c r="V60" s="79">
        <f t="shared" si="50"/>
        <v>509754.8876683251</v>
      </c>
      <c r="W60" s="79">
        <f t="shared" si="50"/>
        <v>521768.8783050034</v>
      </c>
    </row>
    <row r="61" spans="2:28">
      <c r="F61" s="13"/>
      <c r="M61" s="6" t="str">
        <f>+M59</f>
        <v>(-) Despesas Financeiras</v>
      </c>
      <c r="N61" s="79">
        <f>+N37</f>
        <v>-35000</v>
      </c>
      <c r="O61" s="79">
        <f t="shared" ref="O61:W61" si="51">+O37</f>
        <v>-35350</v>
      </c>
      <c r="P61" s="79">
        <f t="shared" si="51"/>
        <v>-35703.5</v>
      </c>
      <c r="Q61" s="79">
        <f t="shared" si="51"/>
        <v>-36060.535000000003</v>
      </c>
      <c r="R61" s="79">
        <f t="shared" si="51"/>
        <v>-36421.140350000001</v>
      </c>
      <c r="S61" s="79">
        <f t="shared" si="51"/>
        <v>-36785.351753499999</v>
      </c>
      <c r="T61" s="79">
        <f t="shared" si="51"/>
        <v>-37153.205271034996</v>
      </c>
      <c r="U61" s="79">
        <f t="shared" si="51"/>
        <v>-37524.737323745343</v>
      </c>
      <c r="V61" s="79">
        <f t="shared" si="51"/>
        <v>-37899.9846969828</v>
      </c>
      <c r="W61" s="79">
        <f t="shared" si="51"/>
        <v>-38278.984543952625</v>
      </c>
    </row>
    <row r="62" spans="2:28">
      <c r="B62" s="8" t="s">
        <v>87</v>
      </c>
      <c r="C62" s="8"/>
      <c r="D62" s="26">
        <v>0.34</v>
      </c>
      <c r="M62" s="6" t="str">
        <f t="shared" ref="M62:W62" si="52">+M39</f>
        <v>(-) Imposto de Renda e Contribuição Social</v>
      </c>
      <c r="N62" s="79">
        <f>+N39</f>
        <v>-140000</v>
      </c>
      <c r="O62" s="79">
        <f t="shared" si="52"/>
        <v>-134690.57826876402</v>
      </c>
      <c r="P62" s="79">
        <f t="shared" si="52"/>
        <v>-141703.70720197455</v>
      </c>
      <c r="Q62" s="79">
        <f t="shared" si="52"/>
        <v>-145326.89216568923</v>
      </c>
      <c r="R62" s="79">
        <f t="shared" si="52"/>
        <v>-149001.55969823239</v>
      </c>
      <c r="S62" s="79">
        <f t="shared" si="52"/>
        <v>-152815.14772392262</v>
      </c>
      <c r="T62" s="79">
        <f t="shared" si="52"/>
        <v>-156683.6443661722</v>
      </c>
      <c r="U62" s="79">
        <f t="shared" si="52"/>
        <v>-160430.66701025641</v>
      </c>
      <c r="V62" s="79">
        <f t="shared" si="52"/>
        <v>-164386.56387875727</v>
      </c>
      <c r="W62" s="79">
        <f t="shared" si="52"/>
        <v>-164386.56387875727</v>
      </c>
    </row>
    <row r="63" spans="2:28">
      <c r="B63" s="8" t="s">
        <v>88</v>
      </c>
      <c r="C63" s="8"/>
      <c r="D63" s="26">
        <v>0.25</v>
      </c>
      <c r="M63" s="6" t="str">
        <f>+M40</f>
        <v>(=) Lucro Líquido do Exercício</v>
      </c>
      <c r="N63" s="79">
        <f>SUM(N60:N62)</f>
        <v>253401.08789705893</v>
      </c>
      <c r="O63" s="79">
        <f>SUM(O60:O62)</f>
        <v>261458.18134524784</v>
      </c>
      <c r="P63" s="79">
        <f t="shared" ref="P63:W63" si="53">SUM(P60:P62)</f>
        <v>264503.85354196606</v>
      </c>
      <c r="Q63" s="79">
        <f t="shared" si="53"/>
        <v>271448.71725188289</v>
      </c>
      <c r="R63" s="79">
        <f t="shared" si="53"/>
        <v>278430.47608320654</v>
      </c>
      <c r="S63" s="79">
        <f t="shared" si="53"/>
        <v>285424.73374146677</v>
      </c>
      <c r="T63" s="79">
        <f t="shared" si="53"/>
        <v>292772.67246889434</v>
      </c>
      <c r="U63" s="79">
        <f t="shared" si="53"/>
        <v>300403.58112554415</v>
      </c>
      <c r="V63" s="79">
        <f t="shared" si="53"/>
        <v>307468.33909258503</v>
      </c>
      <c r="W63" s="79">
        <f t="shared" si="53"/>
        <v>319103.32988229347</v>
      </c>
    </row>
    <row r="64" spans="2:28">
      <c r="B64" s="8" t="s">
        <v>89</v>
      </c>
      <c r="C64" s="8"/>
      <c r="D64" s="26">
        <v>0.09</v>
      </c>
    </row>
    <row r="66" spans="2:27">
      <c r="M66" s="8"/>
      <c r="N66" s="18">
        <f>+N29</f>
        <v>2017</v>
      </c>
      <c r="O66" s="18">
        <f t="shared" ref="O66:W66" si="54">+O29</f>
        <v>2018</v>
      </c>
      <c r="P66" s="18">
        <f t="shared" si="54"/>
        <v>2019</v>
      </c>
      <c r="Q66" s="18">
        <f t="shared" si="54"/>
        <v>2020</v>
      </c>
      <c r="R66" s="18">
        <f t="shared" si="54"/>
        <v>2021</v>
      </c>
      <c r="S66" s="18">
        <f t="shared" si="54"/>
        <v>2022</v>
      </c>
      <c r="T66" s="18">
        <f t="shared" si="54"/>
        <v>2023</v>
      </c>
      <c r="U66" s="18">
        <f t="shared" si="54"/>
        <v>2024</v>
      </c>
      <c r="V66" s="18">
        <f t="shared" si="54"/>
        <v>2025</v>
      </c>
      <c r="W66" s="18">
        <f t="shared" si="54"/>
        <v>2026</v>
      </c>
    </row>
    <row r="67" spans="2:27">
      <c r="E67" s="13"/>
      <c r="M67" s="8" t="s">
        <v>28</v>
      </c>
      <c r="N67" s="84">
        <f t="shared" ref="N67:W67" si="55">+N43</f>
        <v>1489960</v>
      </c>
      <c r="O67" s="82">
        <f t="shared" si="55"/>
        <v>1517618.324</v>
      </c>
      <c r="P67" s="82">
        <f t="shared" si="55"/>
        <v>1545809.6815924002</v>
      </c>
      <c r="Q67" s="82">
        <f t="shared" si="55"/>
        <v>1574544.5577652075</v>
      </c>
      <c r="R67" s="82">
        <f t="shared" si="55"/>
        <v>1603833.6459648162</v>
      </c>
      <c r="S67" s="82">
        <f t="shared" si="55"/>
        <v>1633687.8522631221</v>
      </c>
      <c r="T67" s="82">
        <f t="shared" si="55"/>
        <v>1664118.2996081687</v>
      </c>
      <c r="U67" s="82">
        <f t="shared" si="55"/>
        <v>1695136.3321599956</v>
      </c>
      <c r="V67" s="82">
        <f t="shared" si="55"/>
        <v>1726753.5197134116</v>
      </c>
      <c r="W67" s="82">
        <f t="shared" si="55"/>
        <v>1758981.6622094207</v>
      </c>
    </row>
    <row r="68" spans="2:27">
      <c r="M68" s="8" t="s">
        <v>29</v>
      </c>
      <c r="N68" s="84">
        <f t="shared" ref="N68:W68" si="56">+N31</f>
        <v>-44698.799999999996</v>
      </c>
      <c r="O68" s="82">
        <f t="shared" si="56"/>
        <v>-45528.549719999995</v>
      </c>
      <c r="P68" s="82">
        <f t="shared" si="56"/>
        <v>-46374.290447772</v>
      </c>
      <c r="Q68" s="82">
        <f t="shared" si="56"/>
        <v>-47236.336732956224</v>
      </c>
      <c r="R68" s="82">
        <f t="shared" si="56"/>
        <v>-48115.009378944487</v>
      </c>
      <c r="S68" s="82">
        <f t="shared" si="56"/>
        <v>-49010.63556789366</v>
      </c>
      <c r="T68" s="82">
        <f t="shared" si="56"/>
        <v>-49923.548988245057</v>
      </c>
      <c r="U68" s="82">
        <f t="shared" si="56"/>
        <v>-50854.089964799867</v>
      </c>
      <c r="V68" s="82">
        <f t="shared" si="56"/>
        <v>-51802.605591402345</v>
      </c>
      <c r="W68" s="82">
        <f t="shared" si="56"/>
        <v>-52769.449866282615</v>
      </c>
    </row>
    <row r="69" spans="2:27">
      <c r="M69" s="19" t="s">
        <v>30</v>
      </c>
      <c r="N69" s="81">
        <f>+N67+N68</f>
        <v>1445261.2</v>
      </c>
      <c r="O69" s="78">
        <f t="shared" ref="O69:W69" si="57">+O67+O68</f>
        <v>1472089.77428</v>
      </c>
      <c r="P69" s="78">
        <f t="shared" si="57"/>
        <v>1499435.3911446282</v>
      </c>
      <c r="Q69" s="78">
        <f t="shared" si="57"/>
        <v>1527308.2210322514</v>
      </c>
      <c r="R69" s="78">
        <f t="shared" si="57"/>
        <v>1555718.6365858717</v>
      </c>
      <c r="S69" s="78">
        <f t="shared" si="57"/>
        <v>1584677.2166952284</v>
      </c>
      <c r="T69" s="78">
        <f t="shared" si="57"/>
        <v>1614194.7506199237</v>
      </c>
      <c r="U69" s="78">
        <f t="shared" si="57"/>
        <v>1644282.2421951958</v>
      </c>
      <c r="V69" s="78">
        <f t="shared" si="57"/>
        <v>1674950.9141220092</v>
      </c>
      <c r="W69" s="78">
        <f t="shared" si="57"/>
        <v>1706212.2123431382</v>
      </c>
    </row>
    <row r="70" spans="2:27">
      <c r="M70" s="8" t="s">
        <v>0</v>
      </c>
      <c r="N70" s="84">
        <f t="shared" ref="N70:W70" si="58">+N46</f>
        <v>-850035.28235294111</v>
      </c>
      <c r="O70" s="82">
        <f t="shared" si="58"/>
        <v>-872290.61333058821</v>
      </c>
      <c r="P70" s="82">
        <f t="shared" si="58"/>
        <v>-887719.92013773299</v>
      </c>
      <c r="Q70" s="82">
        <f t="shared" si="58"/>
        <v>-903134.66070790542</v>
      </c>
      <c r="R70" s="82">
        <f t="shared" si="58"/>
        <v>-918965.47169220983</v>
      </c>
      <c r="S70" s="82">
        <f t="shared" si="58"/>
        <v>-935159.27280810149</v>
      </c>
      <c r="T70" s="82">
        <f t="shared" si="58"/>
        <v>-951469.05347972643</v>
      </c>
      <c r="U70" s="82">
        <f t="shared" si="58"/>
        <v>-968152.26966491411</v>
      </c>
      <c r="V70" s="82">
        <f t="shared" si="58"/>
        <v>-985738.26242697355</v>
      </c>
      <c r="W70" s="82">
        <f t="shared" si="58"/>
        <v>-1003266.1986092622</v>
      </c>
    </row>
    <row r="71" spans="2:27">
      <c r="F71" s="13"/>
      <c r="M71" s="8" t="s">
        <v>31</v>
      </c>
      <c r="N71" s="84">
        <f t="shared" ref="N71:W71" si="59">+N49</f>
        <v>-87335.463749999995</v>
      </c>
      <c r="O71" s="82">
        <f t="shared" si="59"/>
        <v>-87335.463749999995</v>
      </c>
      <c r="P71" s="82">
        <f t="shared" si="59"/>
        <v>-87335.463749999995</v>
      </c>
      <c r="Q71" s="82">
        <f t="shared" si="59"/>
        <v>-87335.463749999995</v>
      </c>
      <c r="R71" s="82">
        <f t="shared" si="59"/>
        <v>-87335.463749999995</v>
      </c>
      <c r="S71" s="82">
        <f t="shared" si="59"/>
        <v>-87335.463749999995</v>
      </c>
      <c r="T71" s="82">
        <f t="shared" si="59"/>
        <v>-87335.463749999995</v>
      </c>
      <c r="U71" s="82">
        <f t="shared" si="59"/>
        <v>-87335.463749999995</v>
      </c>
      <c r="V71" s="82">
        <f t="shared" si="59"/>
        <v>-87335.463749999995</v>
      </c>
      <c r="W71" s="82">
        <f t="shared" si="59"/>
        <v>-87335.463749999995</v>
      </c>
    </row>
    <row r="72" spans="2:27">
      <c r="F72" s="13"/>
      <c r="M72" s="8" t="s">
        <v>39</v>
      </c>
      <c r="N72" s="84">
        <f t="shared" ref="N72:W72" si="60">+N48</f>
        <v>-79489.365999999995</v>
      </c>
      <c r="O72" s="82">
        <f t="shared" si="60"/>
        <v>-80964.937585399995</v>
      </c>
      <c r="P72" s="82">
        <f t="shared" si="60"/>
        <v>-82468.946512954557</v>
      </c>
      <c r="Q72" s="82">
        <f t="shared" si="60"/>
        <v>-84001.952156773827</v>
      </c>
      <c r="R72" s="82">
        <f t="shared" si="60"/>
        <v>-85564.525012222948</v>
      </c>
      <c r="S72" s="82">
        <f t="shared" si="60"/>
        <v>-87157.246918237564</v>
      </c>
      <c r="T72" s="82">
        <f t="shared" si="60"/>
        <v>-88780.7112840958</v>
      </c>
      <c r="U72" s="82">
        <f t="shared" si="60"/>
        <v>-90435.523320735767</v>
      </c>
      <c r="V72" s="82">
        <f t="shared" si="60"/>
        <v>-92122.300276710506</v>
      </c>
      <c r="W72" s="82">
        <f t="shared" si="60"/>
        <v>-93841.671678872604</v>
      </c>
    </row>
    <row r="73" spans="2:27">
      <c r="B73" s="24"/>
      <c r="F73" s="13"/>
      <c r="L73" s="13"/>
      <c r="M73" s="8" t="s">
        <v>32</v>
      </c>
      <c r="N73" s="84">
        <f t="shared" ref="N73:W73" si="61">+N62</f>
        <v>-140000</v>
      </c>
      <c r="O73" s="82">
        <f t="shared" si="61"/>
        <v>-134690.57826876402</v>
      </c>
      <c r="P73" s="82">
        <f t="shared" si="61"/>
        <v>-141703.70720197455</v>
      </c>
      <c r="Q73" s="82">
        <f t="shared" si="61"/>
        <v>-145326.89216568923</v>
      </c>
      <c r="R73" s="82">
        <f t="shared" si="61"/>
        <v>-149001.55969823239</v>
      </c>
      <c r="S73" s="82">
        <f t="shared" si="61"/>
        <v>-152815.14772392262</v>
      </c>
      <c r="T73" s="82">
        <f t="shared" si="61"/>
        <v>-156683.6443661722</v>
      </c>
      <c r="U73" s="82">
        <f t="shared" si="61"/>
        <v>-160430.66701025641</v>
      </c>
      <c r="V73" s="82">
        <f t="shared" si="61"/>
        <v>-164386.56387875727</v>
      </c>
      <c r="W73" s="82">
        <f t="shared" si="61"/>
        <v>-164386.56387875727</v>
      </c>
      <c r="Y73" s="15"/>
      <c r="Z73" s="15"/>
      <c r="AA73" s="15"/>
    </row>
    <row r="74" spans="2:27">
      <c r="F74" s="13"/>
      <c r="M74" s="19" t="s">
        <v>34</v>
      </c>
      <c r="N74" s="81">
        <f t="shared" ref="N74:W74" si="62">+N69+N70+N71+N72+N73</f>
        <v>288401.08789705887</v>
      </c>
      <c r="O74" s="78">
        <f t="shared" si="62"/>
        <v>296808.18134524778</v>
      </c>
      <c r="P74" s="78">
        <f t="shared" si="62"/>
        <v>300207.35354196606</v>
      </c>
      <c r="Q74" s="78">
        <f t="shared" si="62"/>
        <v>307509.25225188292</v>
      </c>
      <c r="R74" s="78">
        <f t="shared" si="62"/>
        <v>314851.61643320654</v>
      </c>
      <c r="S74" s="78">
        <f t="shared" si="62"/>
        <v>322210.08549496671</v>
      </c>
      <c r="T74" s="78">
        <f t="shared" si="62"/>
        <v>329925.8777399293</v>
      </c>
      <c r="U74" s="78">
        <f t="shared" si="62"/>
        <v>337928.31844928942</v>
      </c>
      <c r="V74" s="78">
        <f t="shared" si="62"/>
        <v>345368.3237895678</v>
      </c>
      <c r="W74" s="78">
        <f t="shared" si="62"/>
        <v>357382.3144262461</v>
      </c>
    </row>
    <row r="75" spans="2:27">
      <c r="F75" s="13"/>
      <c r="M75" s="8" t="s">
        <v>2</v>
      </c>
      <c r="N75" s="84">
        <f t="shared" ref="N75:W75" si="63">+N58*-1</f>
        <v>87335.463749999995</v>
      </c>
      <c r="O75" s="82">
        <f t="shared" si="63"/>
        <v>87335.463749999995</v>
      </c>
      <c r="P75" s="82">
        <f t="shared" si="63"/>
        <v>87335.463749999995</v>
      </c>
      <c r="Q75" s="82">
        <f t="shared" si="63"/>
        <v>87335.463749999995</v>
      </c>
      <c r="R75" s="82">
        <f t="shared" si="63"/>
        <v>87335.463749999995</v>
      </c>
      <c r="S75" s="82">
        <f t="shared" si="63"/>
        <v>87335.463749999995</v>
      </c>
      <c r="T75" s="82">
        <f t="shared" si="63"/>
        <v>87335.463749999995</v>
      </c>
      <c r="U75" s="82">
        <f t="shared" si="63"/>
        <v>87335.463749999995</v>
      </c>
      <c r="V75" s="82">
        <f t="shared" si="63"/>
        <v>87335.463749999995</v>
      </c>
      <c r="W75" s="82">
        <f t="shared" si="63"/>
        <v>87335.463749999995</v>
      </c>
    </row>
    <row r="76" spans="2:27">
      <c r="F76" s="13"/>
      <c r="M76" s="8" t="s">
        <v>33</v>
      </c>
      <c r="N76" s="84">
        <v>-75000</v>
      </c>
      <c r="O76" s="82">
        <f>(D41)</f>
        <v>-95776.859999999986</v>
      </c>
      <c r="P76" s="82">
        <v>-84610.4</v>
      </c>
      <c r="Q76" s="82">
        <v>-85456.503999999986</v>
      </c>
      <c r="R76" s="82">
        <v>-86481.982047999991</v>
      </c>
      <c r="S76" s="82">
        <v>-87606.247814623988</v>
      </c>
      <c r="T76" s="82">
        <v>-88482.310292770213</v>
      </c>
      <c r="U76" s="82">
        <v>-89455.615705990669</v>
      </c>
      <c r="V76" s="82">
        <v>-91244.728020110488</v>
      </c>
      <c r="W76" s="82">
        <v>-92522.154212392037</v>
      </c>
    </row>
    <row r="77" spans="2:27">
      <c r="F77" s="13"/>
      <c r="M77" s="8" t="s">
        <v>12</v>
      </c>
      <c r="N77" s="84">
        <v>-19000</v>
      </c>
      <c r="O77" s="82">
        <v>-20168</v>
      </c>
      <c r="P77" s="82">
        <v>-20369.68</v>
      </c>
      <c r="Q77" s="82">
        <v>-20573.376800000002</v>
      </c>
      <c r="R77" s="82">
        <v>-20820.257321600002</v>
      </c>
      <c r="S77" s="82">
        <v>-21090.920666780799</v>
      </c>
      <c r="T77" s="82">
        <v>-21301.829873448609</v>
      </c>
      <c r="U77" s="82">
        <v>-21536.15000205654</v>
      </c>
      <c r="V77" s="82">
        <v>-21966.873002097673</v>
      </c>
      <c r="W77" s="82">
        <v>-22274.409224127041</v>
      </c>
    </row>
    <row r="78" spans="2:27">
      <c r="M78" s="19" t="s">
        <v>35</v>
      </c>
      <c r="N78" s="81">
        <f>+N74+N75+N76+N77</f>
        <v>281736.55164705886</v>
      </c>
      <c r="O78" s="78">
        <f>+O74+O75+O76+O77</f>
        <v>268198.78509524779</v>
      </c>
      <c r="P78" s="78">
        <f t="shared" ref="P78:W78" si="64">+P74+P75+P76+P77</f>
        <v>282562.73729196604</v>
      </c>
      <c r="Q78" s="78">
        <f t="shared" si="64"/>
        <v>288814.83520188293</v>
      </c>
      <c r="R78" s="78">
        <f t="shared" si="64"/>
        <v>294884.84081360657</v>
      </c>
      <c r="S78" s="78">
        <f t="shared" si="64"/>
        <v>300848.38076356193</v>
      </c>
      <c r="T78" s="78">
        <f t="shared" si="64"/>
        <v>307477.2013237105</v>
      </c>
      <c r="U78" s="78">
        <f t="shared" si="64"/>
        <v>314272.01649124216</v>
      </c>
      <c r="V78" s="78">
        <f t="shared" si="64"/>
        <v>319492.18651735963</v>
      </c>
      <c r="W78" s="78">
        <f t="shared" si="64"/>
        <v>329921.21473972697</v>
      </c>
    </row>
    <row r="79" spans="2:27">
      <c r="F79" s="13"/>
      <c r="M79" s="8" t="s">
        <v>37</v>
      </c>
      <c r="N79" s="84">
        <f t="shared" ref="N79:W79" si="65">+N61</f>
        <v>-35000</v>
      </c>
      <c r="O79" s="82">
        <f t="shared" si="65"/>
        <v>-35350</v>
      </c>
      <c r="P79" s="82">
        <f t="shared" si="65"/>
        <v>-35703.5</v>
      </c>
      <c r="Q79" s="82">
        <f t="shared" si="65"/>
        <v>-36060.535000000003</v>
      </c>
      <c r="R79" s="82">
        <f t="shared" si="65"/>
        <v>-36421.140350000001</v>
      </c>
      <c r="S79" s="82">
        <f t="shared" si="65"/>
        <v>-36785.351753499999</v>
      </c>
      <c r="T79" s="82">
        <f t="shared" si="65"/>
        <v>-37153.205271034996</v>
      </c>
      <c r="U79" s="82">
        <f t="shared" si="65"/>
        <v>-37524.737323745343</v>
      </c>
      <c r="V79" s="82">
        <f t="shared" si="65"/>
        <v>-37899.9846969828</v>
      </c>
      <c r="W79" s="82">
        <f t="shared" si="65"/>
        <v>-38278.984543952625</v>
      </c>
    </row>
    <row r="80" spans="2:27">
      <c r="M80" s="8" t="s">
        <v>38</v>
      </c>
      <c r="N80" s="84">
        <f>+N79*0.34*-1</f>
        <v>11900</v>
      </c>
      <c r="O80" s="82">
        <f>+O79*0.34*-1</f>
        <v>12019</v>
      </c>
      <c r="P80" s="82">
        <f>+P79*0.34*-1</f>
        <v>12139.19</v>
      </c>
      <c r="Q80" s="82">
        <f t="shared" ref="Q80:W80" si="66">+Q79*0.34*-1</f>
        <v>12260.581900000003</v>
      </c>
      <c r="R80" s="82">
        <f t="shared" si="66"/>
        <v>12383.187719000001</v>
      </c>
      <c r="S80" s="82">
        <f t="shared" si="66"/>
        <v>12507.019596190001</v>
      </c>
      <c r="T80" s="82">
        <f t="shared" si="66"/>
        <v>12632.089792151899</v>
      </c>
      <c r="U80" s="82">
        <f t="shared" si="66"/>
        <v>12758.410690073417</v>
      </c>
      <c r="V80" s="82">
        <f t="shared" si="66"/>
        <v>12885.994796974153</v>
      </c>
      <c r="W80" s="82">
        <f t="shared" si="66"/>
        <v>13014.854744943894</v>
      </c>
    </row>
    <row r="81" spans="5:29">
      <c r="M81" s="19" t="s">
        <v>36</v>
      </c>
      <c r="N81" s="81">
        <f>+N78+N79+N80</f>
        <v>258636.55164705886</v>
      </c>
      <c r="O81" s="78">
        <f>+O78+O79+O80</f>
        <v>244867.78509524779</v>
      </c>
      <c r="P81" s="78">
        <f t="shared" ref="P81:W81" si="67">+P78+P79+P80</f>
        <v>258998.42729196604</v>
      </c>
      <c r="Q81" s="78">
        <f t="shared" si="67"/>
        <v>265014.88210188295</v>
      </c>
      <c r="R81" s="78">
        <f t="shared" si="67"/>
        <v>270846.88818260655</v>
      </c>
      <c r="S81" s="78">
        <f t="shared" si="67"/>
        <v>276570.04860625195</v>
      </c>
      <c r="T81" s="78">
        <f t="shared" si="67"/>
        <v>282956.08584482741</v>
      </c>
      <c r="U81" s="78">
        <f t="shared" si="67"/>
        <v>289505.68985757022</v>
      </c>
      <c r="V81" s="78">
        <f t="shared" si="67"/>
        <v>294478.19661735103</v>
      </c>
      <c r="W81" s="78">
        <f t="shared" si="67"/>
        <v>304657.08494071825</v>
      </c>
      <c r="X81" s="7">
        <v>10</v>
      </c>
    </row>
    <row r="82" spans="5:29">
      <c r="M82" s="15" t="s">
        <v>300</v>
      </c>
    </row>
    <row r="83" spans="5:29">
      <c r="M83" s="86"/>
    </row>
    <row r="84" spans="5:29">
      <c r="F84" s="17"/>
      <c r="M84" s="8"/>
      <c r="N84" s="61">
        <f>+N92</f>
        <v>2017</v>
      </c>
      <c r="O84" s="34">
        <f t="shared" ref="O84:W84" si="68">+O92</f>
        <v>2018</v>
      </c>
      <c r="P84" s="34">
        <f t="shared" si="68"/>
        <v>2019</v>
      </c>
      <c r="Q84" s="34">
        <f t="shared" si="68"/>
        <v>2020</v>
      </c>
      <c r="R84" s="34">
        <f t="shared" si="68"/>
        <v>2021</v>
      </c>
      <c r="S84" s="34">
        <f t="shared" si="68"/>
        <v>2022</v>
      </c>
      <c r="T84" s="34">
        <f t="shared" si="68"/>
        <v>2023</v>
      </c>
      <c r="U84" s="34">
        <f t="shared" si="68"/>
        <v>2024</v>
      </c>
      <c r="V84" s="34">
        <f t="shared" si="68"/>
        <v>2025</v>
      </c>
      <c r="W84" s="34">
        <f t="shared" si="68"/>
        <v>2026</v>
      </c>
    </row>
    <row r="85" spans="5:29" ht="15" customHeight="1">
      <c r="M85" s="8" t="str">
        <f>+M74</f>
        <v>(=) Noplat</v>
      </c>
      <c r="N85" s="79">
        <f t="shared" ref="N85:W85" si="69">N74</f>
        <v>288401.08789705887</v>
      </c>
      <c r="O85" s="49">
        <f t="shared" si="69"/>
        <v>296808.18134524778</v>
      </c>
      <c r="P85" s="49">
        <f t="shared" si="69"/>
        <v>300207.35354196606</v>
      </c>
      <c r="Q85" s="49">
        <f t="shared" si="69"/>
        <v>307509.25225188292</v>
      </c>
      <c r="R85" s="49">
        <f t="shared" si="69"/>
        <v>314851.61643320654</v>
      </c>
      <c r="S85" s="49">
        <f t="shared" si="69"/>
        <v>322210.08549496671</v>
      </c>
      <c r="T85" s="49">
        <f t="shared" si="69"/>
        <v>329925.8777399293</v>
      </c>
      <c r="U85" s="49">
        <f t="shared" si="69"/>
        <v>337928.31844928942</v>
      </c>
      <c r="V85" s="49">
        <f t="shared" si="69"/>
        <v>345368.3237895678</v>
      </c>
      <c r="W85" s="49">
        <f t="shared" si="69"/>
        <v>357382.3144262461</v>
      </c>
    </row>
    <row r="86" spans="5:29">
      <c r="M86" s="8" t="s">
        <v>40</v>
      </c>
      <c r="N86" s="84">
        <f t="shared" ref="N86:W86" si="70">N79*(-1)</f>
        <v>35000</v>
      </c>
      <c r="O86" s="82">
        <f t="shared" si="70"/>
        <v>35350</v>
      </c>
      <c r="P86" s="82">
        <f t="shared" si="70"/>
        <v>35703.5</v>
      </c>
      <c r="Q86" s="82">
        <f t="shared" si="70"/>
        <v>36060.535000000003</v>
      </c>
      <c r="R86" s="82">
        <f t="shared" si="70"/>
        <v>36421.140350000001</v>
      </c>
      <c r="S86" s="82">
        <f t="shared" si="70"/>
        <v>36785.351753499999</v>
      </c>
      <c r="T86" s="82">
        <f t="shared" si="70"/>
        <v>37153.205271034996</v>
      </c>
      <c r="U86" s="82">
        <f t="shared" si="70"/>
        <v>37524.737323745343</v>
      </c>
      <c r="V86" s="82">
        <f t="shared" si="70"/>
        <v>37899.9846969828</v>
      </c>
      <c r="W86" s="82">
        <f t="shared" si="70"/>
        <v>38278.984543952625</v>
      </c>
    </row>
    <row r="87" spans="5:29">
      <c r="M87" s="8" t="s">
        <v>41</v>
      </c>
      <c r="N87" s="84">
        <f t="shared" ref="N87:W87" si="71">N73*(-1)</f>
        <v>140000</v>
      </c>
      <c r="O87" s="82">
        <f t="shared" si="71"/>
        <v>134690.57826876402</v>
      </c>
      <c r="P87" s="82">
        <f t="shared" si="71"/>
        <v>141703.70720197455</v>
      </c>
      <c r="Q87" s="82">
        <f t="shared" si="71"/>
        <v>145326.89216568923</v>
      </c>
      <c r="R87" s="82">
        <f t="shared" si="71"/>
        <v>149001.55969823239</v>
      </c>
      <c r="S87" s="82">
        <f t="shared" si="71"/>
        <v>152815.14772392262</v>
      </c>
      <c r="T87" s="82">
        <f t="shared" si="71"/>
        <v>156683.6443661722</v>
      </c>
      <c r="U87" s="82">
        <f t="shared" si="71"/>
        <v>160430.66701025641</v>
      </c>
      <c r="V87" s="82">
        <f t="shared" si="71"/>
        <v>164386.56387875727</v>
      </c>
      <c r="W87" s="82">
        <f t="shared" si="71"/>
        <v>164386.56387875727</v>
      </c>
    </row>
    <row r="88" spans="5:29">
      <c r="M88" s="8" t="s">
        <v>2</v>
      </c>
      <c r="N88" s="84">
        <f t="shared" ref="N88:W88" si="72">N75</f>
        <v>87335.463749999995</v>
      </c>
      <c r="O88" s="82">
        <f t="shared" si="72"/>
        <v>87335.463749999995</v>
      </c>
      <c r="P88" s="82">
        <f t="shared" si="72"/>
        <v>87335.463749999995</v>
      </c>
      <c r="Q88" s="82">
        <f t="shared" si="72"/>
        <v>87335.463749999995</v>
      </c>
      <c r="R88" s="82">
        <f t="shared" si="72"/>
        <v>87335.463749999995</v>
      </c>
      <c r="S88" s="82">
        <f t="shared" si="72"/>
        <v>87335.463749999995</v>
      </c>
      <c r="T88" s="82">
        <f t="shared" si="72"/>
        <v>87335.463749999995</v>
      </c>
      <c r="U88" s="82">
        <f t="shared" si="72"/>
        <v>87335.463749999995</v>
      </c>
      <c r="V88" s="82">
        <f t="shared" si="72"/>
        <v>87335.463749999995</v>
      </c>
      <c r="W88" s="82">
        <f t="shared" si="72"/>
        <v>87335.463749999995</v>
      </c>
      <c r="AB88" s="13"/>
    </row>
    <row r="89" spans="5:29" ht="16.5" customHeight="1">
      <c r="M89" s="8" t="s">
        <v>26</v>
      </c>
      <c r="N89" s="79">
        <f>N85+N86+N87+N88</f>
        <v>550736.55164705892</v>
      </c>
      <c r="O89" s="49">
        <f>O85+O86+O87+O88</f>
        <v>554184.22336401185</v>
      </c>
      <c r="P89" s="49">
        <f t="shared" ref="P89:W89" si="73">P85+P86+P87+P88</f>
        <v>564950.02449394064</v>
      </c>
      <c r="Q89" s="49">
        <f t="shared" si="73"/>
        <v>576232.14316757221</v>
      </c>
      <c r="R89" s="49">
        <f t="shared" si="73"/>
        <v>587609.78023143893</v>
      </c>
      <c r="S89" s="49">
        <f t="shared" si="73"/>
        <v>599146.04872238939</v>
      </c>
      <c r="T89" s="49">
        <f t="shared" si="73"/>
        <v>611098.19112713658</v>
      </c>
      <c r="U89" s="49">
        <f t="shared" si="73"/>
        <v>623219.18653329113</v>
      </c>
      <c r="V89" s="49">
        <f t="shared" si="73"/>
        <v>634990.33611530787</v>
      </c>
      <c r="W89" s="49">
        <f t="shared" si="73"/>
        <v>647383.32659895602</v>
      </c>
      <c r="AB89" s="13"/>
      <c r="AC89" s="13"/>
    </row>
    <row r="90" spans="5:29">
      <c r="M90" s="15" t="s">
        <v>301</v>
      </c>
      <c r="N90" s="85"/>
      <c r="O90" s="83"/>
      <c r="P90" s="83"/>
      <c r="Q90" s="83"/>
      <c r="R90" s="83"/>
      <c r="S90" s="83"/>
      <c r="T90" s="83"/>
      <c r="U90" s="83"/>
      <c r="V90" s="83"/>
      <c r="W90" s="83"/>
      <c r="AB90" s="13"/>
    </row>
    <row r="91" spans="5:29">
      <c r="M91" s="86"/>
      <c r="N91" s="85"/>
      <c r="O91" s="83"/>
      <c r="P91" s="83"/>
      <c r="Q91" s="83"/>
      <c r="R91" s="83"/>
      <c r="S91" s="83"/>
      <c r="T91" s="83"/>
      <c r="U91" s="83"/>
      <c r="V91" s="83"/>
      <c r="W91" s="83"/>
    </row>
    <row r="92" spans="5:29">
      <c r="M92" s="8"/>
      <c r="N92" s="61">
        <f>+N66</f>
        <v>2017</v>
      </c>
      <c r="O92" s="34">
        <f t="shared" ref="O92:W92" si="74">+O66</f>
        <v>2018</v>
      </c>
      <c r="P92" s="34">
        <f t="shared" si="74"/>
        <v>2019</v>
      </c>
      <c r="Q92" s="34">
        <f t="shared" si="74"/>
        <v>2020</v>
      </c>
      <c r="R92" s="34">
        <f t="shared" si="74"/>
        <v>2021</v>
      </c>
      <c r="S92" s="34">
        <f t="shared" si="74"/>
        <v>2022</v>
      </c>
      <c r="T92" s="34">
        <f t="shared" si="74"/>
        <v>2023</v>
      </c>
      <c r="U92" s="34">
        <f t="shared" si="74"/>
        <v>2024</v>
      </c>
      <c r="V92" s="34">
        <f t="shared" si="74"/>
        <v>2025</v>
      </c>
      <c r="W92" s="34">
        <f t="shared" si="74"/>
        <v>2026</v>
      </c>
    </row>
    <row r="93" spans="5:29">
      <c r="M93" s="19" t="str">
        <f t="shared" ref="M93:W93" si="75">+M89</f>
        <v>(=) EBITDA</v>
      </c>
      <c r="N93" s="81">
        <f>+N89</f>
        <v>550736.55164705892</v>
      </c>
      <c r="O93" s="78">
        <f t="shared" si="75"/>
        <v>554184.22336401185</v>
      </c>
      <c r="P93" s="78">
        <f t="shared" si="75"/>
        <v>564950.02449394064</v>
      </c>
      <c r="Q93" s="78">
        <f t="shared" si="75"/>
        <v>576232.14316757221</v>
      </c>
      <c r="R93" s="78">
        <f t="shared" si="75"/>
        <v>587609.78023143893</v>
      </c>
      <c r="S93" s="78">
        <f t="shared" si="75"/>
        <v>599146.04872238939</v>
      </c>
      <c r="T93" s="78">
        <f t="shared" si="75"/>
        <v>611098.19112713658</v>
      </c>
      <c r="U93" s="78">
        <f t="shared" si="75"/>
        <v>623219.18653329113</v>
      </c>
      <c r="V93" s="78">
        <f t="shared" si="75"/>
        <v>634990.33611530787</v>
      </c>
      <c r="W93" s="78">
        <f t="shared" si="75"/>
        <v>647383.32659895602</v>
      </c>
    </row>
    <row r="94" spans="5:29">
      <c r="M94" s="8" t="str">
        <f>+M73</f>
        <v>(-) Imposto de Renda Sobre as Operações</v>
      </c>
      <c r="N94" s="84">
        <f t="shared" ref="N94:W94" si="76">-N73*-1</f>
        <v>-140000</v>
      </c>
      <c r="O94" s="82">
        <f t="shared" si="76"/>
        <v>-134690.57826876402</v>
      </c>
      <c r="P94" s="82">
        <f t="shared" si="76"/>
        <v>-141703.70720197455</v>
      </c>
      <c r="Q94" s="82">
        <f t="shared" si="76"/>
        <v>-145326.89216568923</v>
      </c>
      <c r="R94" s="82">
        <f t="shared" si="76"/>
        <v>-149001.55969823239</v>
      </c>
      <c r="S94" s="82">
        <f t="shared" si="76"/>
        <v>-152815.14772392262</v>
      </c>
      <c r="T94" s="82">
        <f t="shared" si="76"/>
        <v>-156683.6443661722</v>
      </c>
      <c r="U94" s="82">
        <f t="shared" si="76"/>
        <v>-160430.66701025641</v>
      </c>
      <c r="V94" s="82">
        <f t="shared" si="76"/>
        <v>-164386.56387875727</v>
      </c>
      <c r="W94" s="82">
        <f t="shared" si="76"/>
        <v>-164386.56387875727</v>
      </c>
    </row>
    <row r="95" spans="5:29" ht="15" customHeight="1">
      <c r="M95" s="8" t="str">
        <f t="shared" ref="M95:W95" si="77">+M76</f>
        <v>(-) Capex</v>
      </c>
      <c r="N95" s="84">
        <f>N76</f>
        <v>-75000</v>
      </c>
      <c r="O95" s="82">
        <f>O76</f>
        <v>-95776.859999999986</v>
      </c>
      <c r="P95" s="82">
        <f t="shared" si="77"/>
        <v>-84610.4</v>
      </c>
      <c r="Q95" s="82">
        <f t="shared" si="77"/>
        <v>-85456.503999999986</v>
      </c>
      <c r="R95" s="82">
        <f t="shared" si="77"/>
        <v>-86481.982047999991</v>
      </c>
      <c r="S95" s="82">
        <f t="shared" si="77"/>
        <v>-87606.247814623988</v>
      </c>
      <c r="T95" s="82">
        <f t="shared" si="77"/>
        <v>-88482.310292770213</v>
      </c>
      <c r="U95" s="82">
        <f t="shared" si="77"/>
        <v>-89455.615705990669</v>
      </c>
      <c r="V95" s="82">
        <f t="shared" si="77"/>
        <v>-91244.728020110488</v>
      </c>
      <c r="W95" s="82">
        <f t="shared" si="77"/>
        <v>-92522.154212392037</v>
      </c>
    </row>
    <row r="96" spans="5:29">
      <c r="E96" s="17"/>
      <c r="M96" s="8" t="str">
        <f t="shared" ref="M96:W96" si="78">+M77</f>
        <v>(-) Investimentos em Capital de Giro</v>
      </c>
      <c r="N96" s="84">
        <f t="shared" si="78"/>
        <v>-19000</v>
      </c>
      <c r="O96" s="82">
        <f t="shared" si="78"/>
        <v>-20168</v>
      </c>
      <c r="P96" s="82">
        <f t="shared" si="78"/>
        <v>-20369.68</v>
      </c>
      <c r="Q96" s="82">
        <f t="shared" si="78"/>
        <v>-20573.376800000002</v>
      </c>
      <c r="R96" s="82">
        <f t="shared" si="78"/>
        <v>-20820.257321600002</v>
      </c>
      <c r="S96" s="82">
        <f t="shared" si="78"/>
        <v>-21090.920666780799</v>
      </c>
      <c r="T96" s="82">
        <f t="shared" si="78"/>
        <v>-21301.829873448609</v>
      </c>
      <c r="U96" s="82">
        <f t="shared" si="78"/>
        <v>-21536.15000205654</v>
      </c>
      <c r="V96" s="82">
        <f t="shared" si="78"/>
        <v>-21966.873002097673</v>
      </c>
      <c r="W96" s="82">
        <f t="shared" si="78"/>
        <v>-22274.409224127041</v>
      </c>
      <c r="AB96" s="13"/>
    </row>
    <row r="97" spans="13:28">
      <c r="M97" s="8" t="str">
        <f t="shared" ref="M97:W97" si="79">+M79</f>
        <v>(-) Despesas Financeiras (juros)</v>
      </c>
      <c r="N97" s="84">
        <f t="shared" si="79"/>
        <v>-35000</v>
      </c>
      <c r="O97" s="82">
        <f t="shared" si="79"/>
        <v>-35350</v>
      </c>
      <c r="P97" s="82">
        <f t="shared" si="79"/>
        <v>-35703.5</v>
      </c>
      <c r="Q97" s="82">
        <f t="shared" si="79"/>
        <v>-36060.535000000003</v>
      </c>
      <c r="R97" s="82">
        <f t="shared" si="79"/>
        <v>-36421.140350000001</v>
      </c>
      <c r="S97" s="82">
        <f t="shared" si="79"/>
        <v>-36785.351753499999</v>
      </c>
      <c r="T97" s="82">
        <f t="shared" si="79"/>
        <v>-37153.205271034996</v>
      </c>
      <c r="U97" s="82">
        <f t="shared" si="79"/>
        <v>-37524.737323745343</v>
      </c>
      <c r="V97" s="82">
        <f t="shared" si="79"/>
        <v>-37899.9846969828</v>
      </c>
      <c r="W97" s="82">
        <f t="shared" si="79"/>
        <v>-38278.984543952625</v>
      </c>
      <c r="Y97" s="15"/>
      <c r="Z97" s="15"/>
      <c r="AA97" s="15"/>
      <c r="AB97" s="13"/>
    </row>
    <row r="98" spans="13:28">
      <c r="M98" s="19" t="str">
        <f>+M78</f>
        <v>(=) FCFF</v>
      </c>
      <c r="N98" s="81">
        <f t="shared" ref="N98:W98" si="80">SUM(N93:N97)</f>
        <v>281736.55164705892</v>
      </c>
      <c r="O98" s="78">
        <f t="shared" si="80"/>
        <v>268198.78509524785</v>
      </c>
      <c r="P98" s="78">
        <f t="shared" si="80"/>
        <v>282562.73729196604</v>
      </c>
      <c r="Q98" s="78">
        <f t="shared" si="80"/>
        <v>288814.83520188299</v>
      </c>
      <c r="R98" s="78">
        <f t="shared" si="80"/>
        <v>294884.84081360657</v>
      </c>
      <c r="S98" s="78">
        <f t="shared" si="80"/>
        <v>300848.38076356199</v>
      </c>
      <c r="T98" s="78">
        <f t="shared" si="80"/>
        <v>307477.20132371061</v>
      </c>
      <c r="U98" s="78">
        <f t="shared" si="80"/>
        <v>314272.0164912421</v>
      </c>
      <c r="V98" s="78">
        <f t="shared" si="80"/>
        <v>319492.18651735963</v>
      </c>
      <c r="W98" s="78">
        <f t="shared" si="80"/>
        <v>329921.21473972697</v>
      </c>
    </row>
    <row r="99" spans="13:28">
      <c r="M99" s="15" t="s">
        <v>302</v>
      </c>
      <c r="N99" s="85"/>
      <c r="O99" s="75"/>
      <c r="P99" s="75"/>
      <c r="Q99" s="75"/>
      <c r="R99" s="75"/>
      <c r="S99" s="75"/>
      <c r="T99" s="75"/>
      <c r="U99" s="75"/>
      <c r="V99" s="75"/>
      <c r="W99" s="75"/>
      <c r="AA99" s="7">
        <v>-1</v>
      </c>
    </row>
    <row r="100" spans="13:28">
      <c r="N100" s="85"/>
      <c r="O100" s="75"/>
      <c r="P100" s="75"/>
      <c r="Q100" s="75"/>
      <c r="R100" s="75"/>
      <c r="S100" s="75"/>
      <c r="T100" s="75"/>
      <c r="U100" s="75"/>
      <c r="V100" s="75"/>
      <c r="W100" s="75"/>
    </row>
    <row r="101" spans="13:28">
      <c r="M101" s="25" t="s">
        <v>81</v>
      </c>
      <c r="N101" s="84">
        <f>N50</f>
        <v>428401.08789705887</v>
      </c>
      <c r="O101" s="82">
        <f>O50</f>
        <v>431498.7596140118</v>
      </c>
      <c r="P101" s="82">
        <f t="shared" ref="P101:W101" si="81">P50</f>
        <v>441911.06074394064</v>
      </c>
      <c r="Q101" s="82">
        <f t="shared" si="81"/>
        <v>452836.14441757218</v>
      </c>
      <c r="R101" s="82">
        <f t="shared" si="81"/>
        <v>463853.17613143893</v>
      </c>
      <c r="S101" s="82">
        <f t="shared" si="81"/>
        <v>475025.23321888933</v>
      </c>
      <c r="T101" s="82">
        <f t="shared" si="81"/>
        <v>486609.5221061015</v>
      </c>
      <c r="U101" s="82">
        <f t="shared" si="81"/>
        <v>498358.98545954586</v>
      </c>
      <c r="V101" s="82">
        <f t="shared" si="81"/>
        <v>509754.8876683251</v>
      </c>
      <c r="W101" s="82">
        <f t="shared" si="81"/>
        <v>521768.8783050034</v>
      </c>
    </row>
    <row r="102" spans="13:28">
      <c r="M102" s="25" t="s">
        <v>2</v>
      </c>
      <c r="N102" s="84">
        <f>N88</f>
        <v>87335.463749999995</v>
      </c>
      <c r="O102" s="82">
        <f>O88</f>
        <v>87335.463749999995</v>
      </c>
      <c r="P102" s="82">
        <f t="shared" ref="P102:W102" si="82">P88</f>
        <v>87335.463749999995</v>
      </c>
      <c r="Q102" s="82">
        <f t="shared" si="82"/>
        <v>87335.463749999995</v>
      </c>
      <c r="R102" s="82">
        <f t="shared" si="82"/>
        <v>87335.463749999995</v>
      </c>
      <c r="S102" s="82">
        <f t="shared" si="82"/>
        <v>87335.463749999995</v>
      </c>
      <c r="T102" s="82">
        <f t="shared" si="82"/>
        <v>87335.463749999995</v>
      </c>
      <c r="U102" s="82">
        <f t="shared" si="82"/>
        <v>87335.463749999995</v>
      </c>
      <c r="V102" s="82">
        <f t="shared" si="82"/>
        <v>87335.463749999995</v>
      </c>
      <c r="W102" s="82">
        <f t="shared" si="82"/>
        <v>87335.463749999995</v>
      </c>
    </row>
    <row r="103" spans="13:28">
      <c r="M103" s="8" t="str">
        <f>M39</f>
        <v>(-) Imposto de Renda e Contribuição Social</v>
      </c>
      <c r="N103" s="84">
        <f>N94</f>
        <v>-140000</v>
      </c>
      <c r="O103" s="82">
        <f>O94</f>
        <v>-134690.57826876402</v>
      </c>
      <c r="P103" s="82">
        <f t="shared" ref="P103:W103" si="83">P94</f>
        <v>-141703.70720197455</v>
      </c>
      <c r="Q103" s="82">
        <f t="shared" si="83"/>
        <v>-145326.89216568923</v>
      </c>
      <c r="R103" s="82">
        <f t="shared" si="83"/>
        <v>-149001.55969823239</v>
      </c>
      <c r="S103" s="82">
        <f t="shared" si="83"/>
        <v>-152815.14772392262</v>
      </c>
      <c r="T103" s="82">
        <f t="shared" si="83"/>
        <v>-156683.6443661722</v>
      </c>
      <c r="U103" s="82">
        <f t="shared" si="83"/>
        <v>-160430.66701025641</v>
      </c>
      <c r="V103" s="82">
        <f t="shared" si="83"/>
        <v>-164386.56387875727</v>
      </c>
      <c r="W103" s="82">
        <f t="shared" si="83"/>
        <v>-164386.56387875727</v>
      </c>
    </row>
    <row r="104" spans="13:28">
      <c r="M104" s="8" t="s">
        <v>83</v>
      </c>
      <c r="N104" s="84">
        <f>N96</f>
        <v>-19000</v>
      </c>
      <c r="O104" s="82">
        <f>O96</f>
        <v>-20168</v>
      </c>
      <c r="P104" s="82">
        <f t="shared" ref="P104:W104" si="84">P96</f>
        <v>-20369.68</v>
      </c>
      <c r="Q104" s="82">
        <f t="shared" si="84"/>
        <v>-20573.376800000002</v>
      </c>
      <c r="R104" s="82">
        <f t="shared" si="84"/>
        <v>-20820.257321600002</v>
      </c>
      <c r="S104" s="82">
        <f t="shared" si="84"/>
        <v>-21090.920666780799</v>
      </c>
      <c r="T104" s="82">
        <f t="shared" si="84"/>
        <v>-21301.829873448609</v>
      </c>
      <c r="U104" s="82">
        <f t="shared" si="84"/>
        <v>-21536.15000205654</v>
      </c>
      <c r="V104" s="82">
        <f t="shared" si="84"/>
        <v>-21966.873002097673</v>
      </c>
      <c r="W104" s="82">
        <f t="shared" si="84"/>
        <v>-22274.409224127041</v>
      </c>
      <c r="Y104" s="15"/>
      <c r="Z104" s="15"/>
      <c r="AA104" s="15"/>
    </row>
    <row r="105" spans="13:28">
      <c r="M105" s="8" t="s">
        <v>84</v>
      </c>
      <c r="N105" s="84">
        <f>N95</f>
        <v>-75000</v>
      </c>
      <c r="O105" s="82">
        <f>O95</f>
        <v>-95776.859999999986</v>
      </c>
      <c r="P105" s="82">
        <f t="shared" ref="P105:W105" si="85">P95</f>
        <v>-84610.4</v>
      </c>
      <c r="Q105" s="82">
        <f t="shared" si="85"/>
        <v>-85456.503999999986</v>
      </c>
      <c r="R105" s="82">
        <f t="shared" si="85"/>
        <v>-86481.982047999991</v>
      </c>
      <c r="S105" s="82">
        <f t="shared" si="85"/>
        <v>-87606.247814623988</v>
      </c>
      <c r="T105" s="82">
        <f t="shared" si="85"/>
        <v>-88482.310292770213</v>
      </c>
      <c r="U105" s="82">
        <f t="shared" si="85"/>
        <v>-89455.615705990669</v>
      </c>
      <c r="V105" s="82">
        <f t="shared" si="85"/>
        <v>-91244.728020110488</v>
      </c>
      <c r="W105" s="82">
        <f t="shared" si="85"/>
        <v>-92522.154212392037</v>
      </c>
    </row>
    <row r="106" spans="13:28">
      <c r="M106" s="25" t="s">
        <v>35</v>
      </c>
      <c r="N106" s="79">
        <f>SUM(N101:N105)</f>
        <v>281736.55164705886</v>
      </c>
      <c r="O106" s="49">
        <f>SUM(O101:O105)</f>
        <v>268198.78509524779</v>
      </c>
      <c r="P106" s="49">
        <f t="shared" ref="P106:W106" si="86">SUM(P101:P105)</f>
        <v>282562.7372919661</v>
      </c>
      <c r="Q106" s="49">
        <f t="shared" si="86"/>
        <v>288814.83520188287</v>
      </c>
      <c r="R106" s="49">
        <f t="shared" si="86"/>
        <v>294884.84081360657</v>
      </c>
      <c r="S106" s="49">
        <f t="shared" si="86"/>
        <v>300848.38076356193</v>
      </c>
      <c r="T106" s="49">
        <f t="shared" si="86"/>
        <v>307477.2013237105</v>
      </c>
      <c r="U106" s="49">
        <f t="shared" si="86"/>
        <v>314272.01649124222</v>
      </c>
      <c r="V106" s="49">
        <f t="shared" si="86"/>
        <v>319492.18651735969</v>
      </c>
      <c r="W106" s="49">
        <f t="shared" si="86"/>
        <v>329921.21473972697</v>
      </c>
    </row>
    <row r="107" spans="13:28">
      <c r="N107" s="85"/>
      <c r="O107" s="75"/>
      <c r="P107" s="75"/>
      <c r="Q107" s="75"/>
      <c r="R107" s="75"/>
      <c r="S107" s="75"/>
      <c r="T107" s="75"/>
      <c r="U107" s="75"/>
      <c r="V107" s="75"/>
      <c r="W107" s="75"/>
    </row>
    <row r="108" spans="13:28">
      <c r="M108" s="25" t="s">
        <v>69</v>
      </c>
      <c r="N108" s="79">
        <f t="shared" ref="N108:W108" si="87">N40</f>
        <v>253401.08789705887</v>
      </c>
      <c r="O108" s="49">
        <f t="shared" si="87"/>
        <v>261458.18134524778</v>
      </c>
      <c r="P108" s="49">
        <f t="shared" si="87"/>
        <v>275071.90221559757</v>
      </c>
      <c r="Q108" s="49">
        <f t="shared" si="87"/>
        <v>282105.14361574966</v>
      </c>
      <c r="R108" s="49">
        <f t="shared" si="87"/>
        <v>289238.32176715694</v>
      </c>
      <c r="S108" s="49">
        <f t="shared" si="87"/>
        <v>296641.16911114391</v>
      </c>
      <c r="T108" s="49">
        <f t="shared" si="87"/>
        <v>304150.60376962833</v>
      </c>
      <c r="U108" s="49">
        <f t="shared" si="87"/>
        <v>311424.23596108588</v>
      </c>
      <c r="V108" s="49">
        <f t="shared" si="87"/>
        <v>319103.32988229347</v>
      </c>
      <c r="W108" s="49">
        <f t="shared" si="87"/>
        <v>319103.32988229347</v>
      </c>
    </row>
    <row r="109" spans="13:28">
      <c r="M109" s="8" t="s">
        <v>82</v>
      </c>
      <c r="N109" s="79">
        <f t="shared" ref="N109:W109" si="88">N86</f>
        <v>35000</v>
      </c>
      <c r="O109" s="49">
        <f t="shared" si="88"/>
        <v>35350</v>
      </c>
      <c r="P109" s="49">
        <f t="shared" si="88"/>
        <v>35703.5</v>
      </c>
      <c r="Q109" s="49">
        <f t="shared" si="88"/>
        <v>36060.535000000003</v>
      </c>
      <c r="R109" s="49">
        <f t="shared" si="88"/>
        <v>36421.140350000001</v>
      </c>
      <c r="S109" s="49">
        <f t="shared" si="88"/>
        <v>36785.351753499999</v>
      </c>
      <c r="T109" s="49">
        <f t="shared" si="88"/>
        <v>37153.205271034996</v>
      </c>
      <c r="U109" s="49">
        <f t="shared" si="88"/>
        <v>37524.737323745343</v>
      </c>
      <c r="V109" s="49">
        <f t="shared" si="88"/>
        <v>37899.9846969828</v>
      </c>
      <c r="W109" s="49">
        <f t="shared" si="88"/>
        <v>38278.984543952625</v>
      </c>
    </row>
    <row r="110" spans="13:28">
      <c r="M110" s="8" t="str">
        <f t="shared" ref="M110:W110" si="89">M102</f>
        <v>(+) Depreciação</v>
      </c>
      <c r="N110" s="79">
        <f t="shared" si="89"/>
        <v>87335.463749999995</v>
      </c>
      <c r="O110" s="49">
        <f t="shared" si="89"/>
        <v>87335.463749999995</v>
      </c>
      <c r="P110" s="49">
        <f t="shared" si="89"/>
        <v>87335.463749999995</v>
      </c>
      <c r="Q110" s="49">
        <f t="shared" si="89"/>
        <v>87335.463749999995</v>
      </c>
      <c r="R110" s="49">
        <f t="shared" si="89"/>
        <v>87335.463749999995</v>
      </c>
      <c r="S110" s="49">
        <f t="shared" si="89"/>
        <v>87335.463749999995</v>
      </c>
      <c r="T110" s="49">
        <f t="shared" si="89"/>
        <v>87335.463749999995</v>
      </c>
      <c r="U110" s="49">
        <f t="shared" si="89"/>
        <v>87335.463749999995</v>
      </c>
      <c r="V110" s="49">
        <f t="shared" si="89"/>
        <v>87335.463749999995</v>
      </c>
      <c r="W110" s="49">
        <f t="shared" si="89"/>
        <v>87335.463749999995</v>
      </c>
    </row>
    <row r="111" spans="13:28">
      <c r="M111" s="25" t="str">
        <f>M105</f>
        <v>(-) Despesas de Capital (CAPEX)</v>
      </c>
      <c r="N111" s="79">
        <f t="shared" ref="N111:W111" si="90">N95</f>
        <v>-75000</v>
      </c>
      <c r="O111" s="49">
        <f t="shared" si="90"/>
        <v>-95776.859999999986</v>
      </c>
      <c r="P111" s="49">
        <f t="shared" si="90"/>
        <v>-84610.4</v>
      </c>
      <c r="Q111" s="49">
        <f t="shared" si="90"/>
        <v>-85456.503999999986</v>
      </c>
      <c r="R111" s="49">
        <f t="shared" si="90"/>
        <v>-86481.982047999991</v>
      </c>
      <c r="S111" s="49">
        <f t="shared" si="90"/>
        <v>-87606.247814623988</v>
      </c>
      <c r="T111" s="49">
        <f t="shared" si="90"/>
        <v>-88482.310292770213</v>
      </c>
      <c r="U111" s="49">
        <f t="shared" si="90"/>
        <v>-89455.615705990669</v>
      </c>
      <c r="V111" s="49">
        <f t="shared" si="90"/>
        <v>-91244.728020110488</v>
      </c>
      <c r="W111" s="49">
        <f t="shared" si="90"/>
        <v>-92522.154212392037</v>
      </c>
    </row>
    <row r="112" spans="13:28">
      <c r="M112" s="8" t="str">
        <f>M104</f>
        <v>(-) Investimento em capital de giro</v>
      </c>
      <c r="N112" s="79">
        <f t="shared" ref="N112:W112" si="91">N96</f>
        <v>-19000</v>
      </c>
      <c r="O112" s="49">
        <f t="shared" si="91"/>
        <v>-20168</v>
      </c>
      <c r="P112" s="49">
        <f t="shared" si="91"/>
        <v>-20369.68</v>
      </c>
      <c r="Q112" s="49">
        <f t="shared" si="91"/>
        <v>-20573.376800000002</v>
      </c>
      <c r="R112" s="49">
        <f t="shared" si="91"/>
        <v>-20820.257321600002</v>
      </c>
      <c r="S112" s="49">
        <f t="shared" si="91"/>
        <v>-21090.920666780799</v>
      </c>
      <c r="T112" s="49">
        <f t="shared" si="91"/>
        <v>-21301.829873448609</v>
      </c>
      <c r="U112" s="49">
        <f t="shared" si="91"/>
        <v>-21536.15000205654</v>
      </c>
      <c r="V112" s="49">
        <f t="shared" si="91"/>
        <v>-21966.873002097673</v>
      </c>
      <c r="W112" s="49">
        <f t="shared" si="91"/>
        <v>-22274.409224127041</v>
      </c>
    </row>
    <row r="113" spans="13:26">
      <c r="M113" s="25" t="s">
        <v>35</v>
      </c>
      <c r="N113" s="79">
        <f>SUM(N108:N112)</f>
        <v>281736.55164705886</v>
      </c>
      <c r="O113" s="49">
        <f>SUM(O108:O112)</f>
        <v>268198.78509524779</v>
      </c>
      <c r="P113" s="49">
        <f t="shared" ref="P113:W113" si="92">SUM(P108:P112)</f>
        <v>293130.78596559755</v>
      </c>
      <c r="Q113" s="49">
        <f t="shared" si="92"/>
        <v>299471.26156574971</v>
      </c>
      <c r="R113" s="49">
        <f t="shared" si="92"/>
        <v>305692.68649755698</v>
      </c>
      <c r="S113" s="49">
        <f t="shared" si="92"/>
        <v>312064.81613323913</v>
      </c>
      <c r="T113" s="49">
        <f t="shared" si="92"/>
        <v>318855.13262444449</v>
      </c>
      <c r="U113" s="49">
        <f t="shared" si="92"/>
        <v>325292.67132678401</v>
      </c>
      <c r="V113" s="49">
        <f t="shared" si="92"/>
        <v>331127.17730706808</v>
      </c>
      <c r="W113" s="49">
        <f t="shared" si="92"/>
        <v>329921.21473972697</v>
      </c>
    </row>
    <row r="114" spans="13:26">
      <c r="N114" s="85"/>
      <c r="O114" s="75"/>
      <c r="P114" s="75"/>
      <c r="Q114" s="75"/>
      <c r="R114" s="75"/>
      <c r="S114" s="75"/>
      <c r="T114" s="75"/>
      <c r="U114" s="75"/>
      <c r="V114" s="75"/>
      <c r="W114" s="75"/>
    </row>
    <row r="115" spans="13:26">
      <c r="M115" s="25" t="str">
        <f>M101</f>
        <v>EBIT</v>
      </c>
      <c r="N115" s="79">
        <f t="shared" ref="N115:W115" si="93">N50</f>
        <v>428401.08789705887</v>
      </c>
      <c r="O115" s="49">
        <f t="shared" si="93"/>
        <v>431498.7596140118</v>
      </c>
      <c r="P115" s="49">
        <f t="shared" si="93"/>
        <v>441911.06074394064</v>
      </c>
      <c r="Q115" s="49">
        <f t="shared" si="93"/>
        <v>452836.14441757218</v>
      </c>
      <c r="R115" s="49">
        <f t="shared" si="93"/>
        <v>463853.17613143893</v>
      </c>
      <c r="S115" s="49">
        <f t="shared" si="93"/>
        <v>475025.23321888933</v>
      </c>
      <c r="T115" s="49">
        <f t="shared" si="93"/>
        <v>486609.5221061015</v>
      </c>
      <c r="U115" s="49">
        <f t="shared" si="93"/>
        <v>498358.98545954586</v>
      </c>
      <c r="V115" s="49">
        <f t="shared" si="93"/>
        <v>509754.8876683251</v>
      </c>
      <c r="W115" s="49">
        <f t="shared" si="93"/>
        <v>521768.8783050034</v>
      </c>
    </row>
    <row r="116" spans="13:26">
      <c r="M116" s="25" t="str">
        <f>M102</f>
        <v>(+) Depreciação</v>
      </c>
      <c r="N116" s="79">
        <f>N110</f>
        <v>87335.463749999995</v>
      </c>
      <c r="O116" s="49">
        <f>O110</f>
        <v>87335.463749999995</v>
      </c>
      <c r="P116" s="49">
        <f t="shared" ref="P116:W116" si="94">P110</f>
        <v>87335.463749999995</v>
      </c>
      <c r="Q116" s="49">
        <f t="shared" si="94"/>
        <v>87335.463749999995</v>
      </c>
      <c r="R116" s="49">
        <f t="shared" si="94"/>
        <v>87335.463749999995</v>
      </c>
      <c r="S116" s="49">
        <f t="shared" si="94"/>
        <v>87335.463749999995</v>
      </c>
      <c r="T116" s="49">
        <f t="shared" si="94"/>
        <v>87335.463749999995</v>
      </c>
      <c r="U116" s="49">
        <f t="shared" si="94"/>
        <v>87335.463749999995</v>
      </c>
      <c r="V116" s="49">
        <f t="shared" si="94"/>
        <v>87335.463749999995</v>
      </c>
      <c r="W116" s="49">
        <f t="shared" si="94"/>
        <v>87335.463749999995</v>
      </c>
      <c r="Z116" s="13"/>
    </row>
    <row r="117" spans="13:26">
      <c r="M117" s="8" t="str">
        <f>M103</f>
        <v>(-) Imposto de Renda e Contribuição Social</v>
      </c>
      <c r="N117" s="79">
        <f t="shared" ref="N117:W117" si="95">N103</f>
        <v>-140000</v>
      </c>
      <c r="O117" s="49">
        <f t="shared" si="95"/>
        <v>-134690.57826876402</v>
      </c>
      <c r="P117" s="49">
        <f t="shared" si="95"/>
        <v>-141703.70720197455</v>
      </c>
      <c r="Q117" s="49">
        <f t="shared" si="95"/>
        <v>-145326.89216568923</v>
      </c>
      <c r="R117" s="49">
        <f t="shared" si="95"/>
        <v>-149001.55969823239</v>
      </c>
      <c r="S117" s="49">
        <f t="shared" si="95"/>
        <v>-152815.14772392262</v>
      </c>
      <c r="T117" s="49">
        <f t="shared" si="95"/>
        <v>-156683.6443661722</v>
      </c>
      <c r="U117" s="49">
        <f t="shared" si="95"/>
        <v>-160430.66701025641</v>
      </c>
      <c r="V117" s="49">
        <f t="shared" si="95"/>
        <v>-164386.56387875727</v>
      </c>
      <c r="W117" s="49">
        <f t="shared" si="95"/>
        <v>-164386.56387875727</v>
      </c>
    </row>
    <row r="118" spans="13:26">
      <c r="M118" s="25" t="str">
        <f>M104</f>
        <v>(-) Investimento em capital de giro</v>
      </c>
      <c r="N118" s="79">
        <f>N112</f>
        <v>-19000</v>
      </c>
      <c r="O118" s="49">
        <f>O112</f>
        <v>-20168</v>
      </c>
      <c r="P118" s="49">
        <f t="shared" ref="P118:W118" si="96">P112</f>
        <v>-20369.68</v>
      </c>
      <c r="Q118" s="49">
        <f t="shared" si="96"/>
        <v>-20573.376800000002</v>
      </c>
      <c r="R118" s="49">
        <f t="shared" si="96"/>
        <v>-20820.257321600002</v>
      </c>
      <c r="S118" s="49">
        <f t="shared" si="96"/>
        <v>-21090.920666780799</v>
      </c>
      <c r="T118" s="49">
        <f t="shared" si="96"/>
        <v>-21301.829873448609</v>
      </c>
      <c r="U118" s="49">
        <f t="shared" si="96"/>
        <v>-21536.15000205654</v>
      </c>
      <c r="V118" s="49">
        <f t="shared" si="96"/>
        <v>-21966.873002097673</v>
      </c>
      <c r="W118" s="49">
        <f t="shared" si="96"/>
        <v>-22274.409224127041</v>
      </c>
    </row>
    <row r="119" spans="13:26">
      <c r="M119" s="8" t="s">
        <v>85</v>
      </c>
      <c r="N119" s="79">
        <f t="shared" ref="N119:W119" si="97">N51*-1</f>
        <v>-35000</v>
      </c>
      <c r="O119" s="49">
        <f t="shared" si="97"/>
        <v>-35350</v>
      </c>
      <c r="P119" s="49">
        <f t="shared" si="97"/>
        <v>-35703.5</v>
      </c>
      <c r="Q119" s="49">
        <f t="shared" si="97"/>
        <v>-36060.535000000003</v>
      </c>
      <c r="R119" s="49">
        <f t="shared" si="97"/>
        <v>-36421.140350000001</v>
      </c>
      <c r="S119" s="49">
        <f t="shared" si="97"/>
        <v>-36785.351753499999</v>
      </c>
      <c r="T119" s="49">
        <f t="shared" si="97"/>
        <v>-37153.205271034996</v>
      </c>
      <c r="U119" s="49">
        <f t="shared" si="97"/>
        <v>-37524.737323745343</v>
      </c>
      <c r="V119" s="49">
        <f t="shared" si="97"/>
        <v>-37899.9846969828</v>
      </c>
      <c r="W119" s="49">
        <f t="shared" si="97"/>
        <v>-38278.984543952625</v>
      </c>
    </row>
    <row r="120" spans="13:26">
      <c r="M120" s="25" t="s">
        <v>86</v>
      </c>
      <c r="N120" s="79">
        <f>SUM(N115:N119)</f>
        <v>321736.55164705886</v>
      </c>
      <c r="O120" s="49">
        <f>SUM(O115:O119)</f>
        <v>328625.64509524778</v>
      </c>
      <c r="P120" s="49">
        <f t="shared" ref="P120:W120" si="98">SUM(P115:P119)</f>
        <v>331469.63729196606</v>
      </c>
      <c r="Q120" s="49">
        <f t="shared" si="98"/>
        <v>338210.80420188291</v>
      </c>
      <c r="R120" s="49">
        <f t="shared" si="98"/>
        <v>344945.68251160654</v>
      </c>
      <c r="S120" s="49">
        <f t="shared" si="98"/>
        <v>351669.27682468592</v>
      </c>
      <c r="T120" s="49">
        <f t="shared" si="98"/>
        <v>358806.30634544569</v>
      </c>
      <c r="U120" s="49">
        <f t="shared" si="98"/>
        <v>366202.89487348753</v>
      </c>
      <c r="V120" s="49">
        <f t="shared" si="98"/>
        <v>372836.92984048737</v>
      </c>
      <c r="W120" s="49">
        <f t="shared" si="98"/>
        <v>384164.3844081664</v>
      </c>
    </row>
    <row r="121" spans="13:26">
      <c r="N121" s="63"/>
    </row>
    <row r="122" spans="13:26">
      <c r="M122" s="8"/>
      <c r="N122" s="18">
        <f>+N132</f>
        <v>2017</v>
      </c>
      <c r="O122" s="94">
        <f t="shared" ref="O122:W122" si="99">+O132</f>
        <v>2018</v>
      </c>
      <c r="P122" s="94">
        <f t="shared" si="99"/>
        <v>2019</v>
      </c>
      <c r="Q122" s="94">
        <f t="shared" si="99"/>
        <v>2020</v>
      </c>
      <c r="R122" s="94">
        <f t="shared" si="99"/>
        <v>2021</v>
      </c>
      <c r="S122" s="94">
        <f t="shared" si="99"/>
        <v>2022</v>
      </c>
      <c r="T122" s="94">
        <f t="shared" si="99"/>
        <v>2023</v>
      </c>
      <c r="U122" s="94">
        <f t="shared" si="99"/>
        <v>2024</v>
      </c>
      <c r="V122" s="94">
        <f t="shared" si="99"/>
        <v>2025</v>
      </c>
      <c r="W122" s="94">
        <f t="shared" si="99"/>
        <v>2026</v>
      </c>
    </row>
    <row r="123" spans="13:26">
      <c r="M123" s="8" t="s">
        <v>186</v>
      </c>
      <c r="N123" s="79">
        <f t="shared" ref="N123:W123" si="100">+N22</f>
        <v>0</v>
      </c>
      <c r="O123" s="49">
        <f t="shared" si="100"/>
        <v>0</v>
      </c>
      <c r="P123" s="49">
        <f t="shared" si="100"/>
        <v>0</v>
      </c>
      <c r="Q123" s="49">
        <f t="shared" si="100"/>
        <v>0</v>
      </c>
      <c r="R123" s="49">
        <f t="shared" si="100"/>
        <v>0</v>
      </c>
      <c r="S123" s="49">
        <f t="shared" si="100"/>
        <v>0</v>
      </c>
      <c r="T123" s="49">
        <f t="shared" si="100"/>
        <v>0</v>
      </c>
      <c r="U123" s="49">
        <f t="shared" si="100"/>
        <v>0</v>
      </c>
      <c r="V123" s="49">
        <f t="shared" si="100"/>
        <v>0</v>
      </c>
      <c r="W123" s="49">
        <f t="shared" si="100"/>
        <v>0</v>
      </c>
    </row>
    <row r="124" spans="13:26">
      <c r="M124" s="8" t="s">
        <v>187</v>
      </c>
      <c r="N124" s="79">
        <f t="shared" ref="N124:W124" si="101">+N23</f>
        <v>0</v>
      </c>
      <c r="O124" s="49">
        <f t="shared" si="101"/>
        <v>0</v>
      </c>
      <c r="P124" s="49">
        <f t="shared" si="101"/>
        <v>0</v>
      </c>
      <c r="Q124" s="49">
        <f t="shared" si="101"/>
        <v>0</v>
      </c>
      <c r="R124" s="49">
        <f t="shared" si="101"/>
        <v>0</v>
      </c>
      <c r="S124" s="49">
        <f t="shared" si="101"/>
        <v>0</v>
      </c>
      <c r="T124" s="49">
        <f t="shared" si="101"/>
        <v>0</v>
      </c>
      <c r="U124" s="49">
        <f t="shared" si="101"/>
        <v>0</v>
      </c>
      <c r="V124" s="49">
        <f t="shared" si="101"/>
        <v>0</v>
      </c>
      <c r="W124" s="49">
        <f t="shared" si="101"/>
        <v>0</v>
      </c>
    </row>
    <row r="125" spans="13:26">
      <c r="M125" s="8" t="s">
        <v>11</v>
      </c>
      <c r="N125" s="79">
        <f t="shared" ref="N125:W125" si="102">+N24</f>
        <v>0</v>
      </c>
      <c r="O125" s="49">
        <f t="shared" si="102"/>
        <v>0</v>
      </c>
      <c r="P125" s="49">
        <f t="shared" si="102"/>
        <v>0</v>
      </c>
      <c r="Q125" s="49">
        <f t="shared" si="102"/>
        <v>0</v>
      </c>
      <c r="R125" s="49">
        <f t="shared" si="102"/>
        <v>0</v>
      </c>
      <c r="S125" s="49">
        <f t="shared" si="102"/>
        <v>0</v>
      </c>
      <c r="T125" s="49">
        <f t="shared" si="102"/>
        <v>0</v>
      </c>
      <c r="U125" s="49">
        <f t="shared" si="102"/>
        <v>0</v>
      </c>
      <c r="V125" s="49">
        <f t="shared" si="102"/>
        <v>0</v>
      </c>
      <c r="W125" s="49">
        <f t="shared" si="102"/>
        <v>0</v>
      </c>
    </row>
    <row r="126" spans="13:26">
      <c r="M126" s="8" t="s">
        <v>185</v>
      </c>
      <c r="N126" s="16">
        <f t="shared" ref="N126:W126" si="103">+N25</f>
        <v>0.16983963815789499</v>
      </c>
      <c r="O126" s="40">
        <f t="shared" si="103"/>
        <v>0.16983963815789499</v>
      </c>
      <c r="P126" s="40">
        <f t="shared" si="103"/>
        <v>0.16983963815789499</v>
      </c>
      <c r="Q126" s="40">
        <f t="shared" si="103"/>
        <v>0.16983963815789499</v>
      </c>
      <c r="R126" s="40">
        <f t="shared" si="103"/>
        <v>0.16983963815789499</v>
      </c>
      <c r="S126" s="40">
        <f t="shared" si="103"/>
        <v>0.16983963815789499</v>
      </c>
      <c r="T126" s="40">
        <f t="shared" si="103"/>
        <v>0.16983963815789499</v>
      </c>
      <c r="U126" s="40">
        <f t="shared" si="103"/>
        <v>0.16983963815789499</v>
      </c>
      <c r="V126" s="40">
        <f t="shared" si="103"/>
        <v>0.16983963815789499</v>
      </c>
      <c r="W126" s="40">
        <f t="shared" si="103"/>
        <v>0.16983963815789499</v>
      </c>
    </row>
    <row r="127" spans="13:26">
      <c r="M127" s="8" t="s">
        <v>184</v>
      </c>
      <c r="N127" s="79">
        <f t="shared" ref="N127:W127" si="104">+N26</f>
        <v>0</v>
      </c>
      <c r="O127" s="49">
        <f t="shared" si="104"/>
        <v>0</v>
      </c>
      <c r="P127" s="49">
        <f t="shared" si="104"/>
        <v>0</v>
      </c>
      <c r="Q127" s="49">
        <f t="shared" si="104"/>
        <v>0</v>
      </c>
      <c r="R127" s="49">
        <f t="shared" si="104"/>
        <v>0</v>
      </c>
      <c r="S127" s="49">
        <f t="shared" si="104"/>
        <v>0</v>
      </c>
      <c r="T127" s="49">
        <f t="shared" si="104"/>
        <v>0</v>
      </c>
      <c r="U127" s="49">
        <f t="shared" si="104"/>
        <v>0</v>
      </c>
      <c r="V127" s="49">
        <f t="shared" si="104"/>
        <v>0</v>
      </c>
      <c r="W127" s="49">
        <f t="shared" si="104"/>
        <v>0</v>
      </c>
    </row>
    <row r="128" spans="13:26">
      <c r="M128" s="8" t="s">
        <v>188</v>
      </c>
      <c r="N128" s="16">
        <f t="shared" ref="N128:W128" si="105">+N126*(1-$D$62)</f>
        <v>0.11209416118421069</v>
      </c>
      <c r="O128" s="45">
        <f t="shared" si="105"/>
        <v>0.11209416118421069</v>
      </c>
      <c r="P128" s="40">
        <f t="shared" si="105"/>
        <v>0.11209416118421069</v>
      </c>
      <c r="Q128" s="40">
        <f t="shared" si="105"/>
        <v>0.11209416118421069</v>
      </c>
      <c r="R128" s="40">
        <f t="shared" si="105"/>
        <v>0.11209416118421069</v>
      </c>
      <c r="S128" s="40">
        <f t="shared" si="105"/>
        <v>0.11209416118421069</v>
      </c>
      <c r="T128" s="40">
        <f t="shared" si="105"/>
        <v>0.11209416118421069</v>
      </c>
      <c r="U128" s="40">
        <f t="shared" si="105"/>
        <v>0.11209416118421069</v>
      </c>
      <c r="V128" s="40">
        <f t="shared" si="105"/>
        <v>0.11209416118421069</v>
      </c>
      <c r="W128" s="40">
        <f t="shared" si="105"/>
        <v>0.11209416118421069</v>
      </c>
    </row>
    <row r="129" spans="13:23">
      <c r="M129" s="93" t="s">
        <v>199</v>
      </c>
      <c r="N129" s="93"/>
      <c r="O129" s="46">
        <v>6.5000000000000002E-2</v>
      </c>
      <c r="P129" s="92"/>
      <c r="Q129" s="92"/>
      <c r="R129" s="92"/>
      <c r="S129" s="92"/>
      <c r="T129" s="92"/>
      <c r="U129" s="92"/>
      <c r="V129" s="92"/>
      <c r="W129" s="92"/>
    </row>
    <row r="130" spans="13:23">
      <c r="M130" s="93" t="s">
        <v>169</v>
      </c>
      <c r="N130" s="93"/>
      <c r="O130" s="45">
        <f>O128-O129</f>
        <v>4.7094161184210684E-2</v>
      </c>
      <c r="P130" s="92"/>
      <c r="Q130" s="92"/>
      <c r="R130" s="92"/>
      <c r="S130" s="92"/>
      <c r="T130" s="92"/>
      <c r="U130" s="92"/>
      <c r="V130" s="92"/>
      <c r="W130" s="92"/>
    </row>
    <row r="132" spans="13:23">
      <c r="M132" s="8"/>
      <c r="N132" s="6">
        <f t="shared" ref="N132:W132" si="106">+N29</f>
        <v>2017</v>
      </c>
      <c r="O132" s="8">
        <f t="shared" si="106"/>
        <v>2018</v>
      </c>
      <c r="P132" s="8">
        <f t="shared" si="106"/>
        <v>2019</v>
      </c>
      <c r="Q132" s="8">
        <f t="shared" si="106"/>
        <v>2020</v>
      </c>
      <c r="R132" s="8">
        <f t="shared" si="106"/>
        <v>2021</v>
      </c>
      <c r="S132" s="8">
        <f t="shared" si="106"/>
        <v>2022</v>
      </c>
      <c r="T132" s="8">
        <f t="shared" si="106"/>
        <v>2023</v>
      </c>
      <c r="U132" s="8">
        <f t="shared" si="106"/>
        <v>2024</v>
      </c>
      <c r="V132" s="8">
        <f t="shared" si="106"/>
        <v>2025</v>
      </c>
      <c r="W132" s="8">
        <f t="shared" si="106"/>
        <v>2026</v>
      </c>
    </row>
    <row r="133" spans="13:23">
      <c r="M133" s="8" t="s">
        <v>69</v>
      </c>
      <c r="N133" s="79">
        <f t="shared" ref="N133:W133" si="107">N40</f>
        <v>253401.08789705887</v>
      </c>
      <c r="O133" s="49">
        <f t="shared" si="107"/>
        <v>261458.18134524778</v>
      </c>
      <c r="P133" s="49">
        <f t="shared" si="107"/>
        <v>275071.90221559757</v>
      </c>
      <c r="Q133" s="49">
        <f t="shared" si="107"/>
        <v>282105.14361574966</v>
      </c>
      <c r="R133" s="49">
        <f t="shared" si="107"/>
        <v>289238.32176715694</v>
      </c>
      <c r="S133" s="49">
        <f t="shared" si="107"/>
        <v>296641.16911114391</v>
      </c>
      <c r="T133" s="49">
        <f t="shared" si="107"/>
        <v>304150.60376962833</v>
      </c>
      <c r="U133" s="49">
        <f t="shared" si="107"/>
        <v>311424.23596108588</v>
      </c>
      <c r="V133" s="49">
        <f t="shared" si="107"/>
        <v>319103.32988229347</v>
      </c>
      <c r="W133" s="49">
        <f t="shared" si="107"/>
        <v>319103.32988229347</v>
      </c>
    </row>
    <row r="134" spans="13:23">
      <c r="M134" s="8" t="str">
        <f t="shared" ref="M134:W134" si="108">+M109</f>
        <v>(+) Despesas financeiras</v>
      </c>
      <c r="N134" s="79">
        <f t="shared" si="108"/>
        <v>35000</v>
      </c>
      <c r="O134" s="49">
        <f t="shared" si="108"/>
        <v>35350</v>
      </c>
      <c r="P134" s="49">
        <f t="shared" si="108"/>
        <v>35703.5</v>
      </c>
      <c r="Q134" s="49">
        <f t="shared" si="108"/>
        <v>36060.535000000003</v>
      </c>
      <c r="R134" s="49">
        <f t="shared" si="108"/>
        <v>36421.140350000001</v>
      </c>
      <c r="S134" s="49">
        <f t="shared" si="108"/>
        <v>36785.351753499999</v>
      </c>
      <c r="T134" s="49">
        <f t="shared" si="108"/>
        <v>37153.205271034996</v>
      </c>
      <c r="U134" s="49">
        <f t="shared" si="108"/>
        <v>37524.737323745343</v>
      </c>
      <c r="V134" s="49">
        <f t="shared" si="108"/>
        <v>37899.9846969828</v>
      </c>
      <c r="W134" s="49">
        <f t="shared" si="108"/>
        <v>38278.984543952625</v>
      </c>
    </row>
    <row r="135" spans="13:23">
      <c r="M135" s="8" t="str">
        <f>M74</f>
        <v>(=) Noplat</v>
      </c>
      <c r="N135" s="79">
        <f>+N133+N134</f>
        <v>288401.08789705887</v>
      </c>
      <c r="O135" s="49">
        <f>+O133+O134</f>
        <v>296808.18134524778</v>
      </c>
      <c r="P135" s="49">
        <f t="shared" ref="P135:W135" si="109">+P133+P134</f>
        <v>310775.40221559757</v>
      </c>
      <c r="Q135" s="49">
        <f t="shared" si="109"/>
        <v>318165.6786157497</v>
      </c>
      <c r="R135" s="49">
        <f t="shared" si="109"/>
        <v>325659.46211715695</v>
      </c>
      <c r="S135" s="49">
        <f t="shared" si="109"/>
        <v>333426.52086464391</v>
      </c>
      <c r="T135" s="49">
        <f t="shared" si="109"/>
        <v>341303.8090406633</v>
      </c>
      <c r="U135" s="49">
        <f t="shared" si="109"/>
        <v>348948.97328483121</v>
      </c>
      <c r="V135" s="49">
        <f t="shared" si="109"/>
        <v>357003.31457927625</v>
      </c>
      <c r="W135" s="49">
        <f t="shared" si="109"/>
        <v>357382.3144262461</v>
      </c>
    </row>
    <row r="136" spans="13:23">
      <c r="M136" s="96" t="s">
        <v>211</v>
      </c>
      <c r="N136" s="97">
        <f t="shared" ref="N136:W136" si="110">+N133/N69</f>
        <v>0.1753323813695814</v>
      </c>
      <c r="O136" s="97">
        <f t="shared" si="110"/>
        <v>0.17761021502450633</v>
      </c>
      <c r="P136" s="97">
        <f t="shared" si="110"/>
        <v>0.18345031992716615</v>
      </c>
      <c r="Q136" s="97">
        <f t="shared" si="110"/>
        <v>0.18470740858389748</v>
      </c>
      <c r="R136" s="97">
        <f t="shared" si="110"/>
        <v>0.18591942975106973</v>
      </c>
      <c r="S136" s="97">
        <f t="shared" si="110"/>
        <v>0.18719343345503223</v>
      </c>
      <c r="T136" s="97">
        <f t="shared" si="110"/>
        <v>0.18842249589327481</v>
      </c>
      <c r="U136" s="97">
        <f t="shared" si="110"/>
        <v>0.18939828453375473</v>
      </c>
      <c r="V136" s="97">
        <f t="shared" si="110"/>
        <v>0.19051503371939943</v>
      </c>
      <c r="W136" s="97">
        <f t="shared" si="110"/>
        <v>0.18702440855470695</v>
      </c>
    </row>
    <row r="138" spans="13:23">
      <c r="M138" s="8" t="s">
        <v>27</v>
      </c>
      <c r="N138" s="102" t="s">
        <v>198</v>
      </c>
      <c r="O138" s="94">
        <f t="shared" ref="O138:W138" si="111">+O132</f>
        <v>2018</v>
      </c>
      <c r="P138" s="94">
        <f t="shared" si="111"/>
        <v>2019</v>
      </c>
      <c r="Q138" s="94">
        <f t="shared" si="111"/>
        <v>2020</v>
      </c>
      <c r="R138" s="94">
        <f t="shared" si="111"/>
        <v>2021</v>
      </c>
      <c r="S138" s="94">
        <f t="shared" si="111"/>
        <v>2022</v>
      </c>
      <c r="T138" s="94">
        <f t="shared" si="111"/>
        <v>2023</v>
      </c>
      <c r="U138" s="94">
        <f t="shared" si="111"/>
        <v>2024</v>
      </c>
      <c r="V138" s="94">
        <f t="shared" si="111"/>
        <v>2025</v>
      </c>
      <c r="W138" s="8">
        <f t="shared" si="111"/>
        <v>2026</v>
      </c>
    </row>
    <row r="139" spans="13:23">
      <c r="M139" s="8" t="s">
        <v>198</v>
      </c>
      <c r="N139" s="102"/>
      <c r="O139" s="94">
        <v>0</v>
      </c>
      <c r="P139" s="94">
        <v>1</v>
      </c>
      <c r="Q139" s="94">
        <v>2</v>
      </c>
      <c r="R139" s="94">
        <v>3</v>
      </c>
      <c r="S139" s="94">
        <v>4</v>
      </c>
      <c r="T139" s="94">
        <v>5</v>
      </c>
      <c r="U139" s="94">
        <v>6</v>
      </c>
      <c r="V139" s="94">
        <v>7</v>
      </c>
      <c r="W139" s="8">
        <v>8</v>
      </c>
    </row>
    <row r="140" spans="13:23">
      <c r="M140" s="8" t="str">
        <f>+M78</f>
        <v>(=) FCFF</v>
      </c>
      <c r="N140" s="64"/>
      <c r="O140" s="49">
        <f t="shared" ref="O140:W140" si="112">+O78</f>
        <v>268198.78509524779</v>
      </c>
      <c r="P140" s="49">
        <f t="shared" si="112"/>
        <v>282562.73729196604</v>
      </c>
      <c r="Q140" s="49">
        <f t="shared" si="112"/>
        <v>288814.83520188293</v>
      </c>
      <c r="R140" s="49">
        <f t="shared" si="112"/>
        <v>294884.84081360657</v>
      </c>
      <c r="S140" s="49">
        <f t="shared" si="112"/>
        <v>300848.38076356193</v>
      </c>
      <c r="T140" s="49">
        <f t="shared" si="112"/>
        <v>307477.2013237105</v>
      </c>
      <c r="U140" s="49">
        <f t="shared" si="112"/>
        <v>314272.01649124216</v>
      </c>
      <c r="V140" s="49">
        <f t="shared" si="112"/>
        <v>319492.18651735963</v>
      </c>
      <c r="W140" s="49">
        <f t="shared" si="112"/>
        <v>329921.21473972697</v>
      </c>
    </row>
    <row r="141" spans="13:23">
      <c r="M141" s="8" t="s">
        <v>189</v>
      </c>
      <c r="N141" s="18">
        <v>0</v>
      </c>
      <c r="O141" s="49">
        <f>+O140</f>
        <v>268198.78509524779</v>
      </c>
      <c r="P141" s="49"/>
      <c r="Q141" s="49"/>
      <c r="R141" s="49"/>
      <c r="S141" s="49"/>
      <c r="T141" s="49"/>
      <c r="U141" s="49"/>
      <c r="V141" s="49"/>
      <c r="W141" s="49"/>
    </row>
    <row r="142" spans="13:23">
      <c r="M142" s="8" t="s">
        <v>190</v>
      </c>
      <c r="N142" s="18">
        <v>1</v>
      </c>
      <c r="O142" s="49">
        <f>(+PV(O156,1,0,P140))*-1</f>
        <v>246243.32125809419</v>
      </c>
      <c r="P142" s="49"/>
      <c r="Q142" s="49"/>
      <c r="R142" s="49"/>
      <c r="S142" s="49"/>
      <c r="T142" s="49"/>
      <c r="U142" s="49"/>
      <c r="V142" s="49"/>
      <c r="W142" s="49"/>
    </row>
    <row r="143" spans="13:23">
      <c r="M143" s="8" t="s">
        <v>191</v>
      </c>
      <c r="N143" s="18">
        <v>2</v>
      </c>
      <c r="O143" s="49">
        <f>(+PV($O$156,2,0,Q140))*-1</f>
        <v>219340.40422076412</v>
      </c>
      <c r="P143" s="49"/>
      <c r="Q143" s="49"/>
      <c r="R143" s="49"/>
      <c r="S143" s="49"/>
      <c r="T143" s="49"/>
      <c r="U143" s="49"/>
      <c r="V143" s="49"/>
      <c r="W143" s="49"/>
    </row>
    <row r="144" spans="13:23">
      <c r="M144" s="8" t="s">
        <v>192</v>
      </c>
      <c r="N144" s="18">
        <v>3</v>
      </c>
      <c r="O144" s="49">
        <f>(+PV($O$156,3,0,R140))*-1</f>
        <v>195164.65153857009</v>
      </c>
      <c r="P144" s="49"/>
      <c r="Q144" s="49"/>
      <c r="R144" s="49"/>
      <c r="S144" s="49"/>
      <c r="T144" s="49"/>
      <c r="U144" s="49"/>
      <c r="V144" s="49"/>
      <c r="W144" s="49"/>
    </row>
    <row r="145" spans="13:23">
      <c r="M145" s="8" t="s">
        <v>193</v>
      </c>
      <c r="N145" s="18">
        <v>4</v>
      </c>
      <c r="O145" s="49">
        <f>(+PV($O$156,4,0,S140))*-1</f>
        <v>173518.57109063488</v>
      </c>
      <c r="P145" s="49"/>
      <c r="Q145" s="49"/>
      <c r="R145" s="49"/>
      <c r="S145" s="49"/>
      <c r="T145" s="49"/>
      <c r="U145" s="49"/>
      <c r="V145" s="49"/>
      <c r="W145" s="49"/>
    </row>
    <row r="146" spans="13:23">
      <c r="M146" s="8" t="s">
        <v>194</v>
      </c>
      <c r="N146" s="18">
        <v>5</v>
      </c>
      <c r="O146" s="49">
        <f>(+PV($O$156,5,0,T140))*-1</f>
        <v>154547.069625501</v>
      </c>
      <c r="P146" s="49"/>
      <c r="Q146" s="49"/>
      <c r="R146" s="49"/>
      <c r="S146" s="49"/>
      <c r="T146" s="49"/>
      <c r="U146" s="49"/>
      <c r="V146" s="49"/>
      <c r="W146" s="49"/>
    </row>
    <row r="147" spans="13:23">
      <c r="M147" s="8" t="s">
        <v>195</v>
      </c>
      <c r="N147" s="18">
        <v>6</v>
      </c>
      <c r="O147" s="49">
        <f>(+PV($O$156,6,0,U140))*-1</f>
        <v>137658.53348516914</v>
      </c>
      <c r="P147" s="49"/>
      <c r="Q147" s="49"/>
      <c r="R147" s="49"/>
      <c r="S147" s="49"/>
      <c r="T147" s="49"/>
      <c r="U147" s="49"/>
      <c r="V147" s="49"/>
      <c r="W147" s="49"/>
    </row>
    <row r="148" spans="13:23">
      <c r="M148" s="8" t="s">
        <v>364</v>
      </c>
      <c r="N148" s="18">
        <v>7</v>
      </c>
      <c r="O148" s="49">
        <f>(+PV($O$156,7,0,V140))*-1</f>
        <v>121957.14219371854</v>
      </c>
      <c r="P148" s="49"/>
      <c r="Q148" s="49"/>
      <c r="R148" s="49"/>
      <c r="S148" s="49"/>
      <c r="T148" s="49"/>
      <c r="U148" s="49"/>
      <c r="V148" s="49"/>
      <c r="W148" s="49"/>
    </row>
    <row r="149" spans="13:23">
      <c r="M149" s="8" t="s">
        <v>365</v>
      </c>
      <c r="N149" s="18">
        <v>8</v>
      </c>
      <c r="O149" s="49">
        <f>(+PV($O$156,8,0,W140))*-1</f>
        <v>109750.57675812642</v>
      </c>
      <c r="P149" s="49"/>
      <c r="Q149" s="49"/>
      <c r="R149" s="49"/>
      <c r="S149" s="49"/>
      <c r="T149" s="49"/>
      <c r="U149" s="49"/>
      <c r="V149" s="49"/>
      <c r="W149" s="49"/>
    </row>
    <row r="150" spans="13:23">
      <c r="M150" s="47" t="str">
        <f>M152</f>
        <v>VPL do Fluxo de Caixa</v>
      </c>
      <c r="N150" s="65"/>
      <c r="O150" s="49">
        <f>SUM(O141:O149)</f>
        <v>1626379.0552658262</v>
      </c>
      <c r="P150" s="49"/>
      <c r="Q150" s="49"/>
      <c r="R150" s="49"/>
      <c r="S150" s="49"/>
      <c r="T150" s="49"/>
      <c r="U150" s="49"/>
      <c r="V150" s="49"/>
      <c r="W150" s="49"/>
    </row>
    <row r="151" spans="13:23">
      <c r="M151" s="8"/>
      <c r="N151" s="6"/>
      <c r="O151" s="49"/>
      <c r="P151" s="49"/>
      <c r="Q151" s="49"/>
      <c r="R151" s="49"/>
      <c r="S151" s="49"/>
      <c r="T151" s="49"/>
      <c r="U151" s="49"/>
      <c r="V151" s="49"/>
      <c r="W151" s="49"/>
    </row>
    <row r="152" spans="13:23">
      <c r="M152" s="8" t="s">
        <v>196</v>
      </c>
      <c r="N152" s="6"/>
      <c r="O152" s="49">
        <f>NPV(O156,P140:W140)+O140</f>
        <v>1626379.0552658262</v>
      </c>
      <c r="P152" s="49"/>
      <c r="Q152" s="49"/>
      <c r="R152" s="49"/>
      <c r="S152" s="49"/>
      <c r="T152" s="49"/>
      <c r="U152" s="49"/>
      <c r="V152" s="49"/>
      <c r="W152" s="49"/>
    </row>
    <row r="153" spans="13:23">
      <c r="M153" s="8" t="s">
        <v>201</v>
      </c>
      <c r="N153" s="66"/>
      <c r="O153" s="50"/>
      <c r="P153" s="50"/>
      <c r="Q153" s="50"/>
      <c r="R153" s="50"/>
      <c r="S153" s="50"/>
      <c r="T153" s="50"/>
      <c r="U153" s="51"/>
      <c r="V153" s="49">
        <f>+(W140*(1+O157))/(O156-O157)</f>
        <v>2792016.7669062172</v>
      </c>
      <c r="W153" s="49"/>
    </row>
    <row r="154" spans="13:23">
      <c r="M154" s="8" t="s">
        <v>197</v>
      </c>
      <c r="N154" s="6"/>
      <c r="O154" s="49">
        <f>(PV(O156,7,0,V153))*-1</f>
        <v>1065773.7504022697</v>
      </c>
      <c r="P154" s="49"/>
      <c r="Q154" s="49"/>
      <c r="R154" s="49"/>
      <c r="S154" s="49"/>
      <c r="T154" s="49"/>
      <c r="U154" s="49"/>
      <c r="V154" s="49"/>
      <c r="W154" s="49"/>
    </row>
    <row r="155" spans="13:23">
      <c r="M155" s="8" t="s">
        <v>200</v>
      </c>
      <c r="N155" s="6"/>
      <c r="O155" s="49">
        <f>O152+O154</f>
        <v>2692152.8056680961</v>
      </c>
      <c r="P155" s="49"/>
      <c r="Q155" s="49"/>
      <c r="R155" s="49"/>
      <c r="S155" s="49"/>
      <c r="T155" s="49"/>
      <c r="U155" s="49"/>
      <c r="V155" s="49"/>
      <c r="W155" s="49"/>
    </row>
    <row r="156" spans="13:23">
      <c r="M156" s="8" t="s">
        <v>5</v>
      </c>
      <c r="N156" s="6"/>
      <c r="O156" s="52">
        <f>+'Tx Desconto 1'!N8</f>
        <v>0.14749401465311007</v>
      </c>
      <c r="P156" s="8"/>
      <c r="Q156" s="8"/>
      <c r="R156" s="8"/>
      <c r="S156" s="8"/>
      <c r="T156" s="8"/>
      <c r="U156" s="8"/>
      <c r="V156" s="8"/>
      <c r="W156" s="8"/>
    </row>
    <row r="157" spans="13:23">
      <c r="M157" s="8" t="s">
        <v>208</v>
      </c>
      <c r="N157" s="6"/>
      <c r="O157" s="45">
        <f>((W113/O113)^(1/8))-1</f>
        <v>2.6228755238403734E-2</v>
      </c>
      <c r="P157" s="8"/>
      <c r="Q157" s="8"/>
      <c r="R157" s="8"/>
      <c r="S157" s="8"/>
      <c r="T157" s="8"/>
      <c r="U157" s="8"/>
      <c r="V157" s="8"/>
      <c r="W157" s="8"/>
    </row>
    <row r="159" spans="13:23">
      <c r="M159" s="8" t="s">
        <v>53</v>
      </c>
      <c r="N159" s="135">
        <f>+N92</f>
        <v>2017</v>
      </c>
    </row>
    <row r="160" spans="13:23">
      <c r="M160" s="8" t="str">
        <f>+M155</f>
        <v>VPL do fluxo de caixa e do resíduo</v>
      </c>
      <c r="N160" s="67">
        <f>+O155</f>
        <v>2692152.8056680961</v>
      </c>
    </row>
    <row r="161" spans="13:19">
      <c r="M161" s="8" t="s">
        <v>213</v>
      </c>
      <c r="N161" s="68">
        <f>D5-15000</f>
        <v>296182.37</v>
      </c>
    </row>
    <row r="162" spans="13:19">
      <c r="M162" s="8" t="s">
        <v>214</v>
      </c>
      <c r="N162" s="68">
        <f>+O125*-1</f>
        <v>0</v>
      </c>
    </row>
    <row r="163" spans="13:19">
      <c r="M163" s="8" t="s">
        <v>215</v>
      </c>
      <c r="N163" s="68">
        <f>SUM(N160:N162)</f>
        <v>2988335.1756680962</v>
      </c>
    </row>
    <row r="164" spans="13:19">
      <c r="N164" s="69"/>
    </row>
    <row r="165" spans="13:19">
      <c r="M165" s="8" t="s">
        <v>219</v>
      </c>
      <c r="N165" s="135">
        <f>+N159</f>
        <v>2017</v>
      </c>
    </row>
    <row r="166" spans="13:19">
      <c r="M166" s="8" t="s">
        <v>202</v>
      </c>
      <c r="N166" s="70">
        <f>+O125/G14</f>
        <v>0</v>
      </c>
      <c r="S166" s="112" t="s">
        <v>347</v>
      </c>
    </row>
    <row r="167" spans="13:19">
      <c r="M167" s="8" t="s">
        <v>209</v>
      </c>
      <c r="N167" s="71">
        <f>+O54</f>
        <v>0.37646088781172582</v>
      </c>
    </row>
    <row r="168" spans="13:19">
      <c r="M168" s="8" t="s">
        <v>210</v>
      </c>
      <c r="N168" s="72">
        <f>+O155/O93</f>
        <v>4.857866197139602</v>
      </c>
    </row>
    <row r="169" spans="13:19">
      <c r="M169" s="8" t="s">
        <v>216</v>
      </c>
      <c r="N169" s="72">
        <f>+N163/O93</f>
        <v>5.3923136922380959</v>
      </c>
    </row>
    <row r="170" spans="13:19">
      <c r="M170" s="8" t="s">
        <v>217</v>
      </c>
      <c r="N170" s="72">
        <f>+N163/O32</f>
        <v>2.0299951999392785</v>
      </c>
    </row>
    <row r="171" spans="13:19">
      <c r="M171" s="8" t="s">
        <v>218</v>
      </c>
      <c r="N171" s="72">
        <f>+N163/O40</f>
        <v>11.429495762162011</v>
      </c>
    </row>
    <row r="172" spans="13:19">
      <c r="M172" s="8" t="s">
        <v>211</v>
      </c>
      <c r="N172" s="73">
        <f>+O136</f>
        <v>0.17761021502450633</v>
      </c>
    </row>
    <row r="173" spans="13:19">
      <c r="M173" s="8" t="s">
        <v>212</v>
      </c>
      <c r="N173" s="72">
        <f>D4/G4</f>
        <v>8.3793870183540964</v>
      </c>
    </row>
  </sheetData>
  <mergeCells count="3">
    <mergeCell ref="B17:E17"/>
    <mergeCell ref="B24:E24"/>
    <mergeCell ref="I2:K2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3"/>
  <sheetViews>
    <sheetView workbookViewId="0">
      <selection activeCell="E16" sqref="E16"/>
    </sheetView>
  </sheetViews>
  <sheetFormatPr defaultRowHeight="15"/>
  <cols>
    <col min="2" max="2" width="7.42578125" customWidth="1"/>
    <col min="3" max="3" width="67.42578125" bestFit="1" customWidth="1"/>
  </cols>
  <sheetData>
    <row r="2" spans="2:4">
      <c r="B2" s="140" t="s">
        <v>148</v>
      </c>
      <c r="C2" s="140"/>
      <c r="D2" s="140"/>
    </row>
    <row r="3" spans="2:4">
      <c r="B3" s="3" t="s">
        <v>149</v>
      </c>
      <c r="C3" s="3" t="s">
        <v>156</v>
      </c>
      <c r="D3" s="2">
        <v>5.2299999999999999E-2</v>
      </c>
    </row>
    <row r="4" spans="2:4">
      <c r="B4" s="3" t="s">
        <v>150</v>
      </c>
      <c r="C4" s="3" t="s">
        <v>157</v>
      </c>
      <c r="D4" s="27">
        <v>1.29</v>
      </c>
    </row>
    <row r="5" spans="2:4">
      <c r="B5" s="3" t="s">
        <v>151</v>
      </c>
      <c r="C5" s="3" t="s">
        <v>158</v>
      </c>
      <c r="D5" s="2">
        <v>0.11409999999999999</v>
      </c>
    </row>
    <row r="6" spans="2:4">
      <c r="B6" s="3" t="s">
        <v>152</v>
      </c>
      <c r="C6" s="3" t="s">
        <v>159</v>
      </c>
      <c r="D6" s="2">
        <f>+D5-D3</f>
        <v>6.1799999999999994E-2</v>
      </c>
    </row>
    <row r="7" spans="2:4">
      <c r="B7" s="3" t="s">
        <v>154</v>
      </c>
      <c r="C7" s="3" t="s">
        <v>160</v>
      </c>
      <c r="D7" s="2">
        <v>3.1899999999999998E-2</v>
      </c>
    </row>
    <row r="8" spans="2:4">
      <c r="B8" s="3" t="s">
        <v>153</v>
      </c>
      <c r="C8" s="3" t="s">
        <v>161</v>
      </c>
      <c r="D8" s="2">
        <v>2.8500000000000001E-2</v>
      </c>
    </row>
    <row r="9" spans="2:4">
      <c r="B9" s="3" t="s">
        <v>155</v>
      </c>
      <c r="C9" s="3" t="s">
        <v>162</v>
      </c>
      <c r="D9" s="2">
        <v>0.05</v>
      </c>
    </row>
    <row r="10" spans="2:4">
      <c r="B10" s="28" t="s">
        <v>164</v>
      </c>
      <c r="C10" s="28" t="s">
        <v>163</v>
      </c>
      <c r="D10" s="2">
        <f>D3+(D4*(D5-D3))+D7+D8+D9</f>
        <v>0.24242199999999997</v>
      </c>
    </row>
    <row r="11" spans="2:4">
      <c r="B11" s="3"/>
      <c r="C11" s="29" t="s">
        <v>165</v>
      </c>
      <c r="D11" s="4">
        <v>6.5000000000000002E-2</v>
      </c>
    </row>
    <row r="12" spans="2:4">
      <c r="B12" s="28" t="s">
        <v>164</v>
      </c>
      <c r="C12" s="29" t="s">
        <v>166</v>
      </c>
      <c r="D12" s="4">
        <f>D10-D11</f>
        <v>0.17742199999999997</v>
      </c>
    </row>
    <row r="13" spans="2:4">
      <c r="B13" s="141" t="s">
        <v>303</v>
      </c>
      <c r="C13" s="141"/>
      <c r="D13" s="141"/>
    </row>
  </sheetData>
  <mergeCells count="2">
    <mergeCell ref="B2:D2"/>
    <mergeCell ref="B13:D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17"/>
  <sheetViews>
    <sheetView workbookViewId="0">
      <selection activeCell="K14" sqref="K14"/>
    </sheetView>
  </sheetViews>
  <sheetFormatPr defaultColWidth="9.140625" defaultRowHeight="15"/>
  <cols>
    <col min="1" max="1" width="9.140625" style="115"/>
    <col min="2" max="2" width="30.28515625" style="115" bestFit="1" customWidth="1"/>
    <col min="3" max="3" width="15.5703125" style="115" customWidth="1"/>
    <col min="4" max="5" width="9.140625" style="115"/>
    <col min="6" max="6" width="14" style="115" customWidth="1"/>
    <col min="7" max="16384" width="9.140625" style="115"/>
  </cols>
  <sheetData>
    <row r="2" spans="2:6" ht="26.25" customHeight="1">
      <c r="B2" s="113" t="s">
        <v>132</v>
      </c>
      <c r="C2" s="114" t="s">
        <v>147</v>
      </c>
      <c r="D2" s="114" t="s">
        <v>90</v>
      </c>
      <c r="E2" s="114" t="s">
        <v>133</v>
      </c>
      <c r="F2" s="114" t="s">
        <v>134</v>
      </c>
    </row>
    <row r="3" spans="2:6">
      <c r="B3" s="116" t="s">
        <v>141</v>
      </c>
      <c r="C3" s="117">
        <v>36</v>
      </c>
      <c r="D3" s="117" t="s">
        <v>125</v>
      </c>
      <c r="E3" s="117" t="s">
        <v>126</v>
      </c>
      <c r="F3" s="117" t="s">
        <v>114</v>
      </c>
    </row>
    <row r="4" spans="2:6">
      <c r="B4" s="116" t="s">
        <v>138</v>
      </c>
      <c r="C4" s="117">
        <v>65</v>
      </c>
      <c r="D4" s="117" t="s">
        <v>99</v>
      </c>
      <c r="E4" s="117" t="s">
        <v>100</v>
      </c>
      <c r="F4" s="117" t="s">
        <v>101</v>
      </c>
    </row>
    <row r="5" spans="2:6">
      <c r="B5" s="116" t="s">
        <v>136</v>
      </c>
      <c r="C5" s="117">
        <v>19</v>
      </c>
      <c r="D5" s="117" t="s">
        <v>96</v>
      </c>
      <c r="E5" s="117" t="s">
        <v>97</v>
      </c>
      <c r="F5" s="117" t="s">
        <v>98</v>
      </c>
    </row>
    <row r="6" spans="2:6">
      <c r="B6" s="116" t="s">
        <v>137</v>
      </c>
      <c r="C6" s="117">
        <v>9</v>
      </c>
      <c r="D6" s="117" t="s">
        <v>102</v>
      </c>
      <c r="E6" s="117" t="s">
        <v>103</v>
      </c>
      <c r="F6" s="117" t="s">
        <v>104</v>
      </c>
    </row>
    <row r="7" spans="2:6">
      <c r="B7" s="116" t="s">
        <v>143</v>
      </c>
      <c r="C7" s="117">
        <v>11</v>
      </c>
      <c r="D7" s="117" t="s">
        <v>105</v>
      </c>
      <c r="E7" s="117" t="s">
        <v>121</v>
      </c>
      <c r="F7" s="117" t="s">
        <v>113</v>
      </c>
    </row>
    <row r="8" spans="2:6">
      <c r="B8" s="116" t="s">
        <v>144</v>
      </c>
      <c r="C8" s="117">
        <v>73</v>
      </c>
      <c r="D8" s="117" t="s">
        <v>118</v>
      </c>
      <c r="E8" s="117" t="s">
        <v>119</v>
      </c>
      <c r="F8" s="117" t="s">
        <v>120</v>
      </c>
    </row>
    <row r="9" spans="2:6">
      <c r="B9" s="116" t="s">
        <v>140</v>
      </c>
      <c r="C9" s="117">
        <v>42</v>
      </c>
      <c r="D9" s="117" t="s">
        <v>108</v>
      </c>
      <c r="E9" s="117" t="s">
        <v>109</v>
      </c>
      <c r="F9" s="117" t="s">
        <v>94</v>
      </c>
    </row>
    <row r="10" spans="2:6">
      <c r="B10" s="116" t="s">
        <v>146</v>
      </c>
      <c r="C10" s="117">
        <v>351</v>
      </c>
      <c r="D10" s="117" t="s">
        <v>116</v>
      </c>
      <c r="E10" s="117" t="s">
        <v>117</v>
      </c>
      <c r="F10" s="117" t="s">
        <v>107</v>
      </c>
    </row>
    <row r="11" spans="2:6">
      <c r="B11" s="116" t="s">
        <v>135</v>
      </c>
      <c r="C11" s="117">
        <v>44</v>
      </c>
      <c r="D11" s="117" t="s">
        <v>91</v>
      </c>
      <c r="E11" s="117" t="s">
        <v>92</v>
      </c>
      <c r="F11" s="117" t="s">
        <v>93</v>
      </c>
    </row>
    <row r="12" spans="2:6">
      <c r="B12" s="116" t="s">
        <v>139</v>
      </c>
      <c r="C12" s="117">
        <v>29</v>
      </c>
      <c r="D12" s="117" t="s">
        <v>99</v>
      </c>
      <c r="E12" s="117" t="s">
        <v>106</v>
      </c>
      <c r="F12" s="117" t="s">
        <v>94</v>
      </c>
    </row>
    <row r="13" spans="2:6">
      <c r="B13" s="116" t="s">
        <v>145</v>
      </c>
      <c r="C13" s="117">
        <v>20</v>
      </c>
      <c r="D13" s="117" t="s">
        <v>111</v>
      </c>
      <c r="E13" s="117" t="s">
        <v>112</v>
      </c>
      <c r="F13" s="117" t="s">
        <v>113</v>
      </c>
    </row>
    <row r="14" spans="2:6">
      <c r="B14" s="116" t="s">
        <v>122</v>
      </c>
      <c r="C14" s="117">
        <v>308</v>
      </c>
      <c r="D14" s="117" t="s">
        <v>123</v>
      </c>
      <c r="E14" s="117" t="s">
        <v>124</v>
      </c>
      <c r="F14" s="117" t="s">
        <v>110</v>
      </c>
    </row>
    <row r="15" spans="2:6">
      <c r="B15" s="118" t="s">
        <v>142</v>
      </c>
      <c r="C15" s="119">
        <v>19</v>
      </c>
      <c r="D15" s="119" t="s">
        <v>127</v>
      </c>
      <c r="E15" s="119" t="s">
        <v>128</v>
      </c>
      <c r="F15" s="119" t="s">
        <v>129</v>
      </c>
    </row>
    <row r="16" spans="2:6">
      <c r="B16" s="118" t="s">
        <v>130</v>
      </c>
      <c r="C16" s="119">
        <v>7480</v>
      </c>
      <c r="D16" s="119" t="s">
        <v>95</v>
      </c>
      <c r="E16" s="119" t="s">
        <v>131</v>
      </c>
      <c r="F16" s="119" t="s">
        <v>115</v>
      </c>
    </row>
    <row r="17" spans="2:6" ht="35.25" customHeight="1">
      <c r="B17" s="142" t="s">
        <v>173</v>
      </c>
      <c r="C17" s="143"/>
      <c r="D17" s="143"/>
      <c r="E17" s="143"/>
      <c r="F17" s="143"/>
    </row>
  </sheetData>
  <sortState ref="B3:F15">
    <sortCondition ref="B3:B15"/>
  </sortState>
  <mergeCells count="1">
    <mergeCell ref="B17:F1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14"/>
  <sheetViews>
    <sheetView workbookViewId="0">
      <selection activeCell="P5" sqref="P5"/>
    </sheetView>
  </sheetViews>
  <sheetFormatPr defaultRowHeight="15"/>
  <cols>
    <col min="2" max="2" width="16.7109375" customWidth="1"/>
    <col min="3" max="3" width="13.5703125" bestFit="1" customWidth="1"/>
    <col min="6" max="6" width="10.5703125" customWidth="1"/>
    <col min="7" max="7" width="11" customWidth="1"/>
    <col min="10" max="10" width="47.5703125" customWidth="1"/>
    <col min="11" max="11" width="13.5703125" bestFit="1" customWidth="1"/>
    <col min="12" max="12" width="10.7109375" customWidth="1"/>
  </cols>
  <sheetData>
    <row r="2" spans="2:16" ht="30.75" customHeight="1">
      <c r="B2" s="30" t="s">
        <v>21</v>
      </c>
      <c r="C2" s="30" t="s">
        <v>8</v>
      </c>
      <c r="D2" s="30" t="s">
        <v>16</v>
      </c>
      <c r="E2" s="30" t="s">
        <v>17</v>
      </c>
      <c r="F2" s="31" t="s">
        <v>18</v>
      </c>
      <c r="G2" s="30" t="s">
        <v>17</v>
      </c>
      <c r="H2" s="30" t="s">
        <v>5</v>
      </c>
      <c r="J2" s="32"/>
      <c r="K2" s="32" t="s">
        <v>8</v>
      </c>
      <c r="L2" s="32" t="s">
        <v>9</v>
      </c>
      <c r="M2" s="32" t="s">
        <v>16</v>
      </c>
      <c r="N2" s="32" t="s">
        <v>24</v>
      </c>
      <c r="O2" s="32"/>
      <c r="P2" s="32" t="s">
        <v>5</v>
      </c>
    </row>
    <row r="3" spans="2:16" ht="16.5" customHeight="1">
      <c r="B3" s="145" t="s">
        <v>170</v>
      </c>
      <c r="C3" s="145"/>
      <c r="D3" s="145"/>
      <c r="E3" s="145"/>
      <c r="F3" s="145"/>
      <c r="G3" s="145"/>
      <c r="H3" s="145"/>
      <c r="J3" s="3" t="s">
        <v>22</v>
      </c>
      <c r="K3" s="27">
        <f>+C12</f>
        <v>95000</v>
      </c>
      <c r="L3" s="4">
        <f>+G12</f>
        <v>0.6785714285714286</v>
      </c>
      <c r="M3" s="4">
        <f>+F9</f>
        <v>0.11277777777777775</v>
      </c>
      <c r="N3" s="140" t="s">
        <v>171</v>
      </c>
      <c r="O3" s="140"/>
      <c r="P3" s="4">
        <f>+H9</f>
        <v>3.6249999999999998E-2</v>
      </c>
    </row>
    <row r="4" spans="2:16">
      <c r="B4" s="3" t="s">
        <v>13</v>
      </c>
      <c r="C4" s="27">
        <v>10000</v>
      </c>
      <c r="D4" s="2">
        <v>0.18</v>
      </c>
      <c r="E4" s="2">
        <f>+C4/$C$7</f>
        <v>0.22222222222222221</v>
      </c>
      <c r="F4" s="2">
        <f>+E4*D4</f>
        <v>3.9999999999999994E-2</v>
      </c>
      <c r="G4" s="140"/>
      <c r="H4" s="140"/>
      <c r="J4" s="3" t="s">
        <v>23</v>
      </c>
      <c r="K4" s="27">
        <f>+C7</f>
        <v>45000</v>
      </c>
      <c r="L4" s="4">
        <f>+G9</f>
        <v>0.32142857142857145</v>
      </c>
      <c r="M4" s="4">
        <f>+F12</f>
        <v>0.1774</v>
      </c>
      <c r="N4" s="140" t="s">
        <v>172</v>
      </c>
      <c r="O4" s="140"/>
      <c r="P4" s="4">
        <f>+H12</f>
        <v>0.12037857142857143</v>
      </c>
    </row>
    <row r="5" spans="2:16">
      <c r="B5" s="3" t="s">
        <v>14</v>
      </c>
      <c r="C5" s="27">
        <v>15000</v>
      </c>
      <c r="D5" s="2">
        <v>0.16</v>
      </c>
      <c r="E5" s="2">
        <f>+C5/$C$7</f>
        <v>0.33333333333333331</v>
      </c>
      <c r="F5" s="2">
        <f>+E5*D5</f>
        <v>5.333333333333333E-2</v>
      </c>
      <c r="G5" s="140"/>
      <c r="H5" s="140"/>
      <c r="J5" s="3" t="s">
        <v>10</v>
      </c>
      <c r="K5" s="27">
        <f>SUM(K3:K4)</f>
        <v>140000</v>
      </c>
      <c r="L5" s="5">
        <f>+G13</f>
        <v>1</v>
      </c>
      <c r="M5" s="149"/>
      <c r="N5" s="150"/>
      <c r="O5" s="151"/>
      <c r="P5" s="4">
        <f>+H13</f>
        <v>0.15662857142857142</v>
      </c>
    </row>
    <row r="6" spans="2:16">
      <c r="B6" s="3" t="s">
        <v>15</v>
      </c>
      <c r="C6" s="27">
        <v>20000</v>
      </c>
      <c r="D6" s="2">
        <v>0.19</v>
      </c>
      <c r="E6" s="2">
        <f>+C6/$C$7</f>
        <v>0.44444444444444442</v>
      </c>
      <c r="F6" s="2">
        <f>+E6*D6</f>
        <v>8.4444444444444447E-2</v>
      </c>
      <c r="G6" s="140"/>
      <c r="H6" s="140"/>
      <c r="J6" s="146" t="s">
        <v>174</v>
      </c>
      <c r="K6" s="146"/>
      <c r="L6" s="146"/>
      <c r="M6" s="146"/>
      <c r="N6" s="146"/>
      <c r="O6" s="146"/>
      <c r="P6" s="146"/>
    </row>
    <row r="7" spans="2:16">
      <c r="B7" s="3"/>
      <c r="C7" s="27">
        <f>SUM(C4:C6)</f>
        <v>45000</v>
      </c>
      <c r="D7" s="4"/>
      <c r="E7" s="2">
        <f>+C7/$C$7</f>
        <v>1</v>
      </c>
      <c r="F7" s="4">
        <f>SUM(F4:F6)</f>
        <v>0.17777777777777776</v>
      </c>
      <c r="G7" s="140"/>
      <c r="H7" s="140"/>
    </row>
    <row r="8" spans="2:16" ht="15" customHeight="1">
      <c r="B8" s="147" t="s">
        <v>168</v>
      </c>
      <c r="C8" s="147"/>
      <c r="D8" s="147"/>
      <c r="E8" s="147"/>
      <c r="F8" s="2">
        <v>6.5000000000000002E-2</v>
      </c>
      <c r="G8" s="140"/>
      <c r="H8" s="140"/>
    </row>
    <row r="9" spans="2:16">
      <c r="B9" s="147" t="s">
        <v>169</v>
      </c>
      <c r="C9" s="147"/>
      <c r="D9" s="147"/>
      <c r="E9" s="147"/>
      <c r="F9" s="4">
        <f>+F7-F8</f>
        <v>0.11277777777777775</v>
      </c>
      <c r="G9" s="2">
        <f>+C7/C13</f>
        <v>0.32142857142857145</v>
      </c>
      <c r="H9" s="2">
        <f>+F9*G9</f>
        <v>3.6249999999999998E-2</v>
      </c>
    </row>
    <row r="10" spans="2:16">
      <c r="B10" s="140"/>
      <c r="C10" s="140"/>
      <c r="D10" s="140"/>
      <c r="E10" s="140"/>
      <c r="F10" s="140"/>
      <c r="G10" s="140"/>
      <c r="H10" s="140"/>
    </row>
    <row r="11" spans="2:16">
      <c r="B11" s="148" t="str">
        <f>+B12</f>
        <v>Capital Próprio</v>
      </c>
      <c r="C11" s="148"/>
      <c r="D11" s="148"/>
      <c r="E11" s="148"/>
      <c r="F11" s="148"/>
      <c r="G11" s="148"/>
      <c r="H11" s="148"/>
    </row>
    <row r="12" spans="2:16">
      <c r="B12" s="3" t="s">
        <v>19</v>
      </c>
      <c r="C12" s="27">
        <v>95000</v>
      </c>
      <c r="D12" s="2">
        <v>0.1774</v>
      </c>
      <c r="E12" s="2">
        <v>1</v>
      </c>
      <c r="F12" s="2">
        <f>+E12*D12</f>
        <v>0.1774</v>
      </c>
      <c r="G12" s="2">
        <f>+C12/C13</f>
        <v>0.6785714285714286</v>
      </c>
      <c r="H12" s="2">
        <f>+G12*F12</f>
        <v>0.12037857142857143</v>
      </c>
    </row>
    <row r="13" spans="2:16">
      <c r="B13" s="3" t="s">
        <v>20</v>
      </c>
      <c r="C13" s="27">
        <f>+C12+C7</f>
        <v>140000</v>
      </c>
      <c r="D13" s="3"/>
      <c r="E13" s="3"/>
      <c r="F13" s="3"/>
      <c r="G13" s="2">
        <f>+G9+G12</f>
        <v>1</v>
      </c>
      <c r="H13" s="2">
        <f>+H9+H12</f>
        <v>0.15662857142857142</v>
      </c>
    </row>
    <row r="14" spans="2:16">
      <c r="B14" s="144" t="s">
        <v>304</v>
      </c>
      <c r="C14" s="144"/>
      <c r="D14" s="144"/>
      <c r="E14" s="144"/>
      <c r="F14" s="144"/>
      <c r="G14" s="144"/>
      <c r="H14" s="144"/>
    </row>
  </sheetData>
  <mergeCells count="12">
    <mergeCell ref="B14:H14"/>
    <mergeCell ref="B3:H3"/>
    <mergeCell ref="N3:O3"/>
    <mergeCell ref="N4:O4"/>
    <mergeCell ref="J6:P6"/>
    <mergeCell ref="B10:H10"/>
    <mergeCell ref="B8:E8"/>
    <mergeCell ref="B9:E9"/>
    <mergeCell ref="G4:G8"/>
    <mergeCell ref="H4:H8"/>
    <mergeCell ref="B11:H11"/>
    <mergeCell ref="M5:O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33"/>
  <sheetViews>
    <sheetView workbookViewId="0">
      <selection activeCell="I19" sqref="I19"/>
    </sheetView>
  </sheetViews>
  <sheetFormatPr defaultColWidth="9.140625" defaultRowHeight="15"/>
  <cols>
    <col min="1" max="1" width="9.140625" style="1"/>
    <col min="2" max="2" width="35.5703125" style="1" customWidth="1"/>
    <col min="3" max="3" width="18.85546875" style="1" bestFit="1" customWidth="1"/>
    <col min="4" max="4" width="18.140625" style="1" bestFit="1" customWidth="1"/>
    <col min="5" max="5" width="13.42578125" style="1" customWidth="1"/>
    <col min="6" max="6" width="8.5703125" style="1" bestFit="1" customWidth="1"/>
    <col min="7" max="7" width="13.42578125" style="1" bestFit="1" customWidth="1"/>
    <col min="8" max="8" width="9.140625" style="1"/>
    <col min="9" max="9" width="35.85546875" style="1" customWidth="1"/>
    <col min="10" max="10" width="30.42578125" style="1" bestFit="1" customWidth="1"/>
    <col min="11" max="16384" width="9.140625" style="1"/>
  </cols>
  <sheetData>
    <row r="2" spans="2:9">
      <c r="B2" s="53" t="s">
        <v>269</v>
      </c>
      <c r="C2" s="55" t="s">
        <v>147</v>
      </c>
      <c r="D2" s="55" t="s">
        <v>220</v>
      </c>
      <c r="E2" s="56" t="s">
        <v>221</v>
      </c>
      <c r="F2" s="56" t="s">
        <v>222</v>
      </c>
      <c r="G2" s="56" t="s">
        <v>223</v>
      </c>
    </row>
    <row r="3" spans="2:9" ht="18" customHeight="1">
      <c r="B3" s="56" t="s">
        <v>135</v>
      </c>
      <c r="C3" s="57">
        <v>44</v>
      </c>
      <c r="D3" s="57" t="s">
        <v>224</v>
      </c>
      <c r="E3" s="57" t="s">
        <v>225</v>
      </c>
      <c r="F3" s="57" t="s">
        <v>226</v>
      </c>
      <c r="G3" s="57" t="s">
        <v>227</v>
      </c>
    </row>
    <row r="4" spans="2:9">
      <c r="B4" s="56" t="s">
        <v>270</v>
      </c>
      <c r="C4" s="57">
        <v>19</v>
      </c>
      <c r="D4" s="57" t="s">
        <v>228</v>
      </c>
      <c r="E4" s="57" t="s">
        <v>229</v>
      </c>
      <c r="F4" s="57" t="s">
        <v>230</v>
      </c>
      <c r="G4" s="57" t="s">
        <v>231</v>
      </c>
    </row>
    <row r="5" spans="2:9">
      <c r="B5" s="56" t="s">
        <v>271</v>
      </c>
      <c r="C5" s="57">
        <v>29</v>
      </c>
      <c r="D5" s="57" t="s">
        <v>232</v>
      </c>
      <c r="E5" s="57" t="s">
        <v>232</v>
      </c>
      <c r="F5" s="57" t="s">
        <v>233</v>
      </c>
      <c r="G5" s="57" t="s">
        <v>234</v>
      </c>
    </row>
    <row r="6" spans="2:9">
      <c r="B6" s="56" t="s">
        <v>272</v>
      </c>
      <c r="C6" s="57">
        <v>39</v>
      </c>
      <c r="D6" s="57" t="s">
        <v>235</v>
      </c>
      <c r="E6" s="57" t="s">
        <v>236</v>
      </c>
      <c r="F6" s="57" t="s">
        <v>237</v>
      </c>
      <c r="G6" s="57" t="s">
        <v>238</v>
      </c>
    </row>
    <row r="7" spans="2:9">
      <c r="B7" s="56" t="s">
        <v>273</v>
      </c>
      <c r="C7" s="57">
        <v>40</v>
      </c>
      <c r="D7" s="57" t="s">
        <v>239</v>
      </c>
      <c r="E7" s="57" t="s">
        <v>241</v>
      </c>
      <c r="F7" s="57" t="s">
        <v>242</v>
      </c>
      <c r="G7" s="57" t="s">
        <v>243</v>
      </c>
    </row>
    <row r="8" spans="2:9">
      <c r="B8" s="56" t="s">
        <v>274</v>
      </c>
      <c r="C8" s="57">
        <v>120</v>
      </c>
      <c r="D8" s="57" t="s">
        <v>244</v>
      </c>
      <c r="E8" s="57" t="s">
        <v>245</v>
      </c>
      <c r="F8" s="57" t="s">
        <v>246</v>
      </c>
      <c r="G8" s="57" t="s">
        <v>247</v>
      </c>
    </row>
    <row r="9" spans="2:9" ht="18" customHeight="1">
      <c r="B9" s="56" t="s">
        <v>275</v>
      </c>
      <c r="C9" s="57">
        <v>51</v>
      </c>
      <c r="D9" s="57" t="s">
        <v>240</v>
      </c>
      <c r="E9" s="57" t="s">
        <v>248</v>
      </c>
      <c r="F9" s="57" t="s">
        <v>249</v>
      </c>
      <c r="G9" s="57" t="s">
        <v>250</v>
      </c>
    </row>
    <row r="10" spans="2:9" ht="18" customHeight="1">
      <c r="B10" s="56" t="s">
        <v>276</v>
      </c>
      <c r="C10" s="57">
        <v>37</v>
      </c>
      <c r="D10" s="57" t="s">
        <v>251</v>
      </c>
      <c r="E10" s="57" t="s">
        <v>252</v>
      </c>
      <c r="F10" s="57" t="s">
        <v>253</v>
      </c>
      <c r="G10" s="57" t="s">
        <v>254</v>
      </c>
    </row>
    <row r="11" spans="2:9">
      <c r="B11" s="56" t="s">
        <v>277</v>
      </c>
      <c r="C11" s="57">
        <v>26</v>
      </c>
      <c r="D11" s="57" t="s">
        <v>255</v>
      </c>
      <c r="E11" s="57" t="s">
        <v>255</v>
      </c>
      <c r="F11" s="57" t="s">
        <v>256</v>
      </c>
      <c r="G11" s="57" t="s">
        <v>257</v>
      </c>
    </row>
    <row r="12" spans="2:9">
      <c r="B12" s="56" t="s">
        <v>143</v>
      </c>
      <c r="C12" s="57">
        <v>11</v>
      </c>
      <c r="D12" s="57" t="s">
        <v>258</v>
      </c>
      <c r="E12" s="57" t="s">
        <v>259</v>
      </c>
      <c r="F12" s="57" t="s">
        <v>260</v>
      </c>
      <c r="G12" s="57" t="s">
        <v>261</v>
      </c>
    </row>
    <row r="13" spans="2:9">
      <c r="B13" s="56" t="s">
        <v>278</v>
      </c>
      <c r="C13" s="57">
        <v>12</v>
      </c>
      <c r="D13" s="57" t="s">
        <v>262</v>
      </c>
      <c r="E13" s="57" t="s">
        <v>262</v>
      </c>
      <c r="F13" s="57" t="s">
        <v>263</v>
      </c>
      <c r="G13" s="57" t="s">
        <v>264</v>
      </c>
    </row>
    <row r="14" spans="2:9">
      <c r="B14" s="56" t="s">
        <v>279</v>
      </c>
      <c r="C14" s="57">
        <v>7480</v>
      </c>
      <c r="D14" s="57" t="s">
        <v>265</v>
      </c>
      <c r="E14" s="57" t="s">
        <v>266</v>
      </c>
      <c r="F14" s="57" t="s">
        <v>267</v>
      </c>
      <c r="G14" s="57" t="s">
        <v>268</v>
      </c>
    </row>
    <row r="15" spans="2:9" ht="18" customHeight="1">
      <c r="B15" s="141" t="s">
        <v>280</v>
      </c>
      <c r="C15" s="141"/>
      <c r="D15" s="141"/>
      <c r="E15" s="141"/>
      <c r="F15" s="141"/>
      <c r="G15" s="141"/>
    </row>
    <row r="16" spans="2:9">
      <c r="I16" s="58"/>
    </row>
    <row r="17" spans="2:9">
      <c r="B17" s="1" t="str">
        <f>+E2</f>
        <v>EV/EBITDA</v>
      </c>
      <c r="C17" s="111">
        <f>+'Valor da Empresa'!N163/'Valor da Empresa'!N89</f>
        <v>5.426070172264831</v>
      </c>
      <c r="I17" s="58"/>
    </row>
    <row r="18" spans="2:9">
      <c r="B18" s="1" t="str">
        <f>+F2</f>
        <v>EV/EBIT</v>
      </c>
      <c r="C18" s="111">
        <f>+'Valor da Empresa'!N163/'Valor da Empresa'!N115</f>
        <v>6.9755545914630535</v>
      </c>
    </row>
    <row r="19" spans="2:9">
      <c r="B19" s="1" t="str">
        <f>+Multiplos!B23</f>
        <v>PBV</v>
      </c>
      <c r="C19" s="111">
        <f>+Multiplos!C23</f>
        <v>2.8964647027220982</v>
      </c>
    </row>
    <row r="20" spans="2:9" ht="33" customHeight="1">
      <c r="B20" s="131" t="s">
        <v>281</v>
      </c>
      <c r="C20" s="132" t="s">
        <v>282</v>
      </c>
      <c r="D20" s="133" t="s">
        <v>283</v>
      </c>
    </row>
    <row r="21" spans="2:9">
      <c r="B21" s="59" t="s">
        <v>284</v>
      </c>
      <c r="C21" s="60">
        <v>130</v>
      </c>
      <c r="D21" s="60">
        <v>1.44</v>
      </c>
    </row>
    <row r="22" spans="2:9">
      <c r="B22" s="59" t="s">
        <v>285</v>
      </c>
      <c r="C22" s="60">
        <v>114</v>
      </c>
      <c r="D22" s="60">
        <v>1.55</v>
      </c>
    </row>
    <row r="23" spans="2:9">
      <c r="B23" s="59" t="s">
        <v>286</v>
      </c>
      <c r="C23" s="60">
        <v>24</v>
      </c>
      <c r="D23" s="60">
        <v>1.82</v>
      </c>
    </row>
    <row r="24" spans="2:9">
      <c r="B24" s="59" t="s">
        <v>287</v>
      </c>
      <c r="C24" s="60">
        <v>7</v>
      </c>
      <c r="D24" s="60">
        <v>1.54</v>
      </c>
    </row>
    <row r="25" spans="2:9">
      <c r="B25" s="59" t="s">
        <v>288</v>
      </c>
      <c r="C25" s="60">
        <v>351</v>
      </c>
      <c r="D25" s="60">
        <v>1.63</v>
      </c>
    </row>
    <row r="26" spans="2:9">
      <c r="B26" s="59" t="s">
        <v>289</v>
      </c>
      <c r="C26" s="60">
        <v>143</v>
      </c>
      <c r="D26" s="60">
        <v>1.74</v>
      </c>
    </row>
    <row r="27" spans="2:9">
      <c r="B27" s="59" t="s">
        <v>290</v>
      </c>
      <c r="C27" s="60">
        <v>644</v>
      </c>
      <c r="D27" s="60">
        <v>0.51</v>
      </c>
    </row>
    <row r="28" spans="2:9">
      <c r="B28" s="59" t="s">
        <v>291</v>
      </c>
      <c r="C28" s="60">
        <v>22</v>
      </c>
      <c r="D28" s="60">
        <v>0.94</v>
      </c>
    </row>
    <row r="29" spans="2:9">
      <c r="B29" s="59" t="s">
        <v>292</v>
      </c>
      <c r="C29" s="60">
        <v>272</v>
      </c>
      <c r="D29" s="60">
        <v>0.65</v>
      </c>
    </row>
    <row r="30" spans="2:9">
      <c r="B30" s="59" t="s">
        <v>293</v>
      </c>
      <c r="C30" s="60">
        <v>89</v>
      </c>
      <c r="D30" s="60">
        <v>0.89</v>
      </c>
    </row>
    <row r="31" spans="2:9">
      <c r="B31" s="59" t="s">
        <v>294</v>
      </c>
      <c r="C31" s="60">
        <v>14</v>
      </c>
      <c r="D31" s="60">
        <v>0.73</v>
      </c>
    </row>
    <row r="32" spans="2:9">
      <c r="B32" s="59" t="s">
        <v>279</v>
      </c>
      <c r="C32" s="60">
        <v>7480</v>
      </c>
      <c r="D32" s="60">
        <v>1.1299999999999999</v>
      </c>
    </row>
    <row r="33" spans="2:4">
      <c r="B33" s="152" t="s">
        <v>295</v>
      </c>
      <c r="C33" s="152"/>
      <c r="D33" s="152"/>
    </row>
  </sheetData>
  <mergeCells count="2">
    <mergeCell ref="B33:D33"/>
    <mergeCell ref="B15:G1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N24"/>
  <sheetViews>
    <sheetView topLeftCell="E1" workbookViewId="0">
      <selection activeCell="O19" sqref="N18:O19"/>
    </sheetView>
  </sheetViews>
  <sheetFormatPr defaultRowHeight="15"/>
  <cols>
    <col min="3" max="3" width="66.42578125" customWidth="1"/>
    <col min="5" max="5" width="7.85546875" bestFit="1" customWidth="1"/>
    <col min="6" max="6" width="35.28515625" customWidth="1"/>
    <col min="7" max="7" width="12.85546875" bestFit="1" customWidth="1"/>
    <col min="8" max="8" width="5.140625" bestFit="1" customWidth="1"/>
    <col min="9" max="9" width="34.28515625" customWidth="1"/>
    <col min="10" max="10" width="13.5703125" bestFit="1" customWidth="1"/>
    <col min="13" max="13" width="12.28515625" customWidth="1"/>
  </cols>
  <sheetData>
    <row r="2" spans="2:14" ht="31.5" customHeight="1">
      <c r="B2" s="140" t="s">
        <v>148</v>
      </c>
      <c r="C2" s="140"/>
      <c r="D2" s="140"/>
      <c r="I2" s="30" t="s">
        <v>21</v>
      </c>
      <c r="J2" s="30" t="s">
        <v>8</v>
      </c>
      <c r="K2" s="30" t="s">
        <v>16</v>
      </c>
      <c r="L2" s="30" t="s">
        <v>17</v>
      </c>
      <c r="M2" s="31" t="s">
        <v>18</v>
      </c>
      <c r="N2" s="30" t="s">
        <v>5</v>
      </c>
    </row>
    <row r="3" spans="2:14">
      <c r="B3" s="3" t="s">
        <v>149</v>
      </c>
      <c r="C3" s="3" t="s">
        <v>156</v>
      </c>
      <c r="D3" s="2">
        <v>5.2299999999999999E-2</v>
      </c>
      <c r="I3" s="153" t="s">
        <v>169</v>
      </c>
      <c r="J3" s="154"/>
      <c r="K3" s="154"/>
      <c r="L3" s="154"/>
      <c r="M3" s="154"/>
      <c r="N3" s="154"/>
    </row>
    <row r="4" spans="2:14">
      <c r="B4" s="3" t="s">
        <v>150</v>
      </c>
      <c r="C4" s="3" t="s">
        <v>157</v>
      </c>
      <c r="D4" s="27">
        <f>+Referencias!D32</f>
        <v>1.1299999999999999</v>
      </c>
      <c r="I4" s="3" t="s">
        <v>167</v>
      </c>
      <c r="J4" s="27">
        <v>100000</v>
      </c>
      <c r="K4" s="2">
        <f>D23</f>
        <v>4.7094161184210684E-2</v>
      </c>
      <c r="L4" s="2">
        <f>J4/J8</f>
        <v>9.0909090909090912E-2</v>
      </c>
      <c r="M4" s="2">
        <f>+L4*K4</f>
        <v>4.2812873803827894E-3</v>
      </c>
      <c r="N4" s="2"/>
    </row>
    <row r="5" spans="2:14">
      <c r="B5" s="3" t="s">
        <v>151</v>
      </c>
      <c r="C5" s="3" t="s">
        <v>158</v>
      </c>
      <c r="D5" s="2">
        <v>0.11409999999999999</v>
      </c>
      <c r="I5" s="140"/>
      <c r="J5" s="140"/>
      <c r="K5" s="140"/>
      <c r="L5" s="140"/>
      <c r="M5" s="140"/>
      <c r="N5" s="140"/>
    </row>
    <row r="6" spans="2:14">
      <c r="B6" s="3" t="s">
        <v>152</v>
      </c>
      <c r="C6" s="3" t="s">
        <v>159</v>
      </c>
      <c r="D6" s="2">
        <f>+D5-D3</f>
        <v>6.1799999999999994E-2</v>
      </c>
      <c r="I6" s="148" t="str">
        <f>+I7</f>
        <v>Capital Próprio</v>
      </c>
      <c r="J6" s="148"/>
      <c r="K6" s="148"/>
      <c r="L6" s="148"/>
      <c r="M6" s="148"/>
      <c r="N6" s="148"/>
    </row>
    <row r="7" spans="2:14">
      <c r="B7" s="3" t="s">
        <v>154</v>
      </c>
      <c r="C7" s="3" t="s">
        <v>160</v>
      </c>
      <c r="D7" s="2">
        <v>3.1899999999999998E-2</v>
      </c>
      <c r="I7" s="3" t="s">
        <v>19</v>
      </c>
      <c r="J7" s="27">
        <v>1000000</v>
      </c>
      <c r="K7" s="2">
        <f>D12</f>
        <v>0.15753400000000001</v>
      </c>
      <c r="L7" s="2">
        <f>J7/J8</f>
        <v>0.90909090909090906</v>
      </c>
      <c r="M7" s="2">
        <f>+L7*K7</f>
        <v>0.14321272727272727</v>
      </c>
      <c r="N7" s="2"/>
    </row>
    <row r="8" spans="2:14">
      <c r="B8" s="3" t="s">
        <v>153</v>
      </c>
      <c r="C8" s="3" t="s">
        <v>161</v>
      </c>
      <c r="D8" s="2">
        <v>2.8500000000000001E-2</v>
      </c>
      <c r="I8" s="3" t="s">
        <v>20</v>
      </c>
      <c r="J8" s="27">
        <f>J7+J4</f>
        <v>1100000</v>
      </c>
      <c r="K8" s="3"/>
      <c r="L8" s="3"/>
      <c r="M8" s="3"/>
      <c r="N8" s="2">
        <f>M7+M4</f>
        <v>0.14749401465311007</v>
      </c>
    </row>
    <row r="9" spans="2:14">
      <c r="B9" s="3" t="s">
        <v>155</v>
      </c>
      <c r="C9" s="3" t="s">
        <v>162</v>
      </c>
      <c r="D9" s="2">
        <v>0.04</v>
      </c>
      <c r="I9" s="74" t="s">
        <v>299</v>
      </c>
      <c r="J9" s="44"/>
      <c r="K9" s="44"/>
      <c r="L9" s="44"/>
      <c r="M9" s="44"/>
      <c r="N9" s="44"/>
    </row>
    <row r="10" spans="2:14">
      <c r="B10" s="28" t="s">
        <v>164</v>
      </c>
      <c r="C10" s="3" t="s">
        <v>163</v>
      </c>
      <c r="D10" s="2">
        <f>D3+(D4*(D5-D3))+D7+D8+D9</f>
        <v>0.22253400000000001</v>
      </c>
    </row>
    <row r="11" spans="2:14">
      <c r="B11" s="3"/>
      <c r="C11" s="3" t="s">
        <v>165</v>
      </c>
      <c r="D11" s="4">
        <f>+'Valor da Empresa'!O129</f>
        <v>6.5000000000000002E-2</v>
      </c>
    </row>
    <row r="12" spans="2:14">
      <c r="B12" s="28" t="s">
        <v>164</v>
      </c>
      <c r="C12" s="3" t="s">
        <v>166</v>
      </c>
      <c r="D12" s="4">
        <f>D10-D11</f>
        <v>0.15753400000000001</v>
      </c>
    </row>
    <row r="13" spans="2:14">
      <c r="B13" s="141" t="s">
        <v>297</v>
      </c>
      <c r="C13" s="141"/>
      <c r="D13" s="141"/>
      <c r="H13" s="48" t="s">
        <v>207</v>
      </c>
      <c r="I13" s="3" t="s">
        <v>53</v>
      </c>
      <c r="J13" s="48">
        <v>2016</v>
      </c>
    </row>
    <row r="14" spans="2:14">
      <c r="H14" s="3" t="s">
        <v>204</v>
      </c>
      <c r="I14" s="3" t="str">
        <f>+I3</f>
        <v>Custo real do capital de terceiros</v>
      </c>
      <c r="J14" s="4">
        <f>+K4</f>
        <v>4.7094161184210684E-2</v>
      </c>
    </row>
    <row r="15" spans="2:14">
      <c r="C15" s="3"/>
      <c r="D15" s="3">
        <v>2016</v>
      </c>
      <c r="H15" s="3" t="s">
        <v>205</v>
      </c>
      <c r="I15" s="3" t="str">
        <f>+C10</f>
        <v>Custo do capital próprio</v>
      </c>
      <c r="J15" s="4">
        <f>+K7</f>
        <v>0.15753400000000001</v>
      </c>
    </row>
    <row r="16" spans="2:14">
      <c r="C16" s="3" t="str">
        <f>'Valor da Empresa'!M123</f>
        <v>Dívida de curto prazo</v>
      </c>
      <c r="D16" s="27">
        <f>'Valor da Empresa'!O123</f>
        <v>0</v>
      </c>
      <c r="H16" s="3" t="s">
        <v>4</v>
      </c>
      <c r="I16" s="3" t="str">
        <f>+I7</f>
        <v>Capital Próprio</v>
      </c>
      <c r="J16" s="27">
        <f>+J7</f>
        <v>1000000</v>
      </c>
    </row>
    <row r="17" spans="3:10">
      <c r="C17" s="3" t="str">
        <f>'Valor da Empresa'!M124</f>
        <v>Dívida de longo prazo</v>
      </c>
      <c r="D17" s="27">
        <f>'Valor da Empresa'!O124</f>
        <v>0</v>
      </c>
      <c r="H17" s="3" t="s">
        <v>3</v>
      </c>
      <c r="I17" s="3" t="str">
        <f>+I4</f>
        <v>Capital de Terceiros</v>
      </c>
      <c r="J17" s="27">
        <f>+J4</f>
        <v>100000</v>
      </c>
    </row>
    <row r="18" spans="3:10">
      <c r="C18" s="3" t="str">
        <f>'Valor da Empresa'!M125</f>
        <v>Total da dívida</v>
      </c>
      <c r="D18" s="27">
        <f>'Valor da Empresa'!O125</f>
        <v>0</v>
      </c>
      <c r="H18" s="3" t="s">
        <v>206</v>
      </c>
      <c r="I18" s="3" t="s">
        <v>203</v>
      </c>
      <c r="J18" s="27">
        <f>+J16+J17</f>
        <v>1100000</v>
      </c>
    </row>
    <row r="19" spans="3:10">
      <c r="C19" s="3" t="str">
        <f>'Valor da Empresa'!M126</f>
        <v>Juro médio</v>
      </c>
      <c r="D19" s="2">
        <f>'Valor da Empresa'!O126</f>
        <v>0.16983963815789499</v>
      </c>
      <c r="H19" s="141" t="s">
        <v>298</v>
      </c>
      <c r="I19" s="141"/>
      <c r="J19" s="141"/>
    </row>
    <row r="20" spans="3:10">
      <c r="C20" s="3" t="str">
        <f>'Valor da Empresa'!M127</f>
        <v>Despesa financeira</v>
      </c>
      <c r="D20" s="27">
        <f>'Valor da Empresa'!O127</f>
        <v>0</v>
      </c>
    </row>
    <row r="21" spans="3:10">
      <c r="C21" s="3" t="str">
        <f>'Valor da Empresa'!M128</f>
        <v>Juro médio após os efeitos do IR</v>
      </c>
      <c r="D21" s="2">
        <f>'Valor da Empresa'!O128</f>
        <v>0.11209416118421069</v>
      </c>
    </row>
    <row r="22" spans="3:10">
      <c r="C22" s="3" t="str">
        <f>'Valor da Empresa'!M129</f>
        <v>Taxa de inflaçao no Brasil</v>
      </c>
      <c r="D22" s="2">
        <f>'Valor da Empresa'!O129</f>
        <v>6.5000000000000002E-2</v>
      </c>
    </row>
    <row r="23" spans="3:10">
      <c r="C23" s="3" t="str">
        <f>'Valor da Empresa'!M130</f>
        <v>Custo real do capital de terceiros</v>
      </c>
      <c r="D23" s="2">
        <f>'Valor da Empresa'!O130</f>
        <v>4.7094161184210684E-2</v>
      </c>
    </row>
    <row r="24" spans="3:10">
      <c r="C24" s="146" t="s">
        <v>296</v>
      </c>
      <c r="D24" s="146"/>
    </row>
  </sheetData>
  <mergeCells count="7">
    <mergeCell ref="C24:D24"/>
    <mergeCell ref="H19:J19"/>
    <mergeCell ref="I6:N6"/>
    <mergeCell ref="B2:D2"/>
    <mergeCell ref="B13:D13"/>
    <mergeCell ref="I3:N3"/>
    <mergeCell ref="I5:N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24"/>
  <sheetViews>
    <sheetView workbookViewId="0">
      <selection activeCell="F20" sqref="F20"/>
    </sheetView>
  </sheetViews>
  <sheetFormatPr defaultColWidth="9.140625" defaultRowHeight="15"/>
  <cols>
    <col min="1" max="1" width="9.140625" style="1"/>
    <col min="2" max="2" width="38" style="1" bestFit="1" customWidth="1"/>
    <col min="3" max="3" width="38.5703125" style="1" bestFit="1" customWidth="1"/>
    <col min="4" max="4" width="6.140625" style="1" bestFit="1" customWidth="1"/>
    <col min="5" max="8" width="9.140625" style="1"/>
    <col min="9" max="9" width="28" style="1" customWidth="1"/>
    <col min="10" max="10" width="10" style="1" bestFit="1" customWidth="1"/>
    <col min="11" max="16384" width="9.140625" style="1"/>
  </cols>
  <sheetData>
    <row r="2" spans="2:4">
      <c r="B2" s="53" t="s">
        <v>132</v>
      </c>
      <c r="C2" s="55" t="s">
        <v>282</v>
      </c>
      <c r="D2" s="57" t="s">
        <v>305</v>
      </c>
    </row>
    <row r="3" spans="2:4">
      <c r="B3" s="56" t="s">
        <v>306</v>
      </c>
      <c r="C3" s="57">
        <v>644</v>
      </c>
      <c r="D3" s="57" t="s">
        <v>307</v>
      </c>
    </row>
    <row r="4" spans="2:4">
      <c r="B4" s="56" t="s">
        <v>309</v>
      </c>
      <c r="C4" s="57">
        <v>43</v>
      </c>
      <c r="D4" s="57" t="s">
        <v>310</v>
      </c>
    </row>
    <row r="5" spans="2:4">
      <c r="B5" s="56" t="s">
        <v>311</v>
      </c>
      <c r="C5" s="57">
        <v>118</v>
      </c>
      <c r="D5" s="57" t="s">
        <v>308</v>
      </c>
    </row>
    <row r="6" spans="2:4">
      <c r="B6" s="56" t="s">
        <v>312</v>
      </c>
      <c r="C6" s="57">
        <v>40</v>
      </c>
      <c r="D6" s="57" t="s">
        <v>313</v>
      </c>
    </row>
    <row r="7" spans="2:4">
      <c r="B7" s="56" t="s">
        <v>314</v>
      </c>
      <c r="C7" s="57">
        <v>254</v>
      </c>
      <c r="D7" s="57" t="s">
        <v>315</v>
      </c>
    </row>
    <row r="8" spans="2:4">
      <c r="B8" s="56" t="s">
        <v>316</v>
      </c>
      <c r="C8" s="57">
        <v>134</v>
      </c>
      <c r="D8" s="57" t="s">
        <v>317</v>
      </c>
    </row>
    <row r="9" spans="2:4">
      <c r="B9" s="56" t="s">
        <v>318</v>
      </c>
      <c r="C9" s="57">
        <v>20</v>
      </c>
      <c r="D9" s="57" t="s">
        <v>107</v>
      </c>
    </row>
    <row r="10" spans="2:4">
      <c r="B10" s="56" t="s">
        <v>319</v>
      </c>
      <c r="C10" s="57">
        <v>79</v>
      </c>
      <c r="D10" s="57" t="s">
        <v>320</v>
      </c>
    </row>
    <row r="11" spans="2:4">
      <c r="B11" s="56" t="s">
        <v>321</v>
      </c>
      <c r="C11" s="57">
        <v>83</v>
      </c>
      <c r="D11" s="57" t="s">
        <v>322</v>
      </c>
    </row>
    <row r="12" spans="2:4">
      <c r="B12" s="56" t="s">
        <v>323</v>
      </c>
      <c r="C12" s="57">
        <v>11</v>
      </c>
      <c r="D12" s="57" t="s">
        <v>239</v>
      </c>
    </row>
    <row r="13" spans="2:4">
      <c r="B13" s="56" t="s">
        <v>122</v>
      </c>
      <c r="C13" s="57">
        <v>308</v>
      </c>
      <c r="D13" s="57" t="s">
        <v>324</v>
      </c>
    </row>
    <row r="14" spans="2:4">
      <c r="B14" s="56" t="s">
        <v>325</v>
      </c>
      <c r="C14" s="57">
        <v>19</v>
      </c>
      <c r="D14" s="57" t="s">
        <v>326</v>
      </c>
    </row>
    <row r="15" spans="2:4">
      <c r="B15" s="56" t="s">
        <v>130</v>
      </c>
      <c r="C15" s="57">
        <v>7480</v>
      </c>
      <c r="D15" s="57" t="s">
        <v>327</v>
      </c>
    </row>
    <row r="16" spans="2:4">
      <c r="B16" s="1" t="s">
        <v>328</v>
      </c>
    </row>
    <row r="19" spans="2:10">
      <c r="B19" s="89" t="s">
        <v>53</v>
      </c>
      <c r="C19" s="90">
        <v>2016</v>
      </c>
    </row>
    <row r="20" spans="2:10">
      <c r="B20" s="89" t="s">
        <v>215</v>
      </c>
      <c r="C20" s="91">
        <f>+'Valor da Empresa'!N163</f>
        <v>2988335.1756680962</v>
      </c>
      <c r="I20" s="88"/>
      <c r="J20"/>
    </row>
    <row r="21" spans="2:10">
      <c r="B21" s="28" t="s">
        <v>329</v>
      </c>
      <c r="C21" s="91">
        <f>+'Valor da Empresa'!G14</f>
        <v>1031718.14</v>
      </c>
    </row>
    <row r="22" spans="2:10">
      <c r="B22" s="28" t="s">
        <v>330</v>
      </c>
      <c r="C22" s="54">
        <f>+C20-C21</f>
        <v>1956617.035668096</v>
      </c>
    </row>
    <row r="23" spans="2:10">
      <c r="B23" s="28" t="str">
        <f>+D2</f>
        <v>PBV</v>
      </c>
      <c r="C23" s="110">
        <f>+C20/C21</f>
        <v>2.8964647027220982</v>
      </c>
    </row>
    <row r="24" spans="2:10">
      <c r="B24" s="1" t="s">
        <v>331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Valor da Empresa</vt:lpstr>
      <vt:lpstr>Custo Capital Proprio</vt:lpstr>
      <vt:lpstr>Multiplos 1</vt:lpstr>
      <vt:lpstr>Tx Desconto</vt:lpstr>
      <vt:lpstr>Referencias</vt:lpstr>
      <vt:lpstr>Tx Desconto 1</vt:lpstr>
      <vt:lpstr>Multiplos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antonik</dc:creator>
  <cp:lastModifiedBy>Aerp</cp:lastModifiedBy>
  <dcterms:created xsi:type="dcterms:W3CDTF">2015-10-11T20:45:14Z</dcterms:created>
  <dcterms:modified xsi:type="dcterms:W3CDTF">2019-02-22T11:30:19Z</dcterms:modified>
</cp:coreProperties>
</file>